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8f945e94541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itial view" sheetId="1" r:id="R3b10b450093f480e"/>
    <x:sheet xmlns:r="http://schemas.openxmlformats.org/officeDocument/2006/relationships" name="Diligence update" sheetId="2" r:id="R942637d849244158"/>
    <x:sheet xmlns:r="http://schemas.openxmlformats.org/officeDocument/2006/relationships" name="Investment update" sheetId="3" r:id="R929ef9a4bdc84823"/>
    <x:sheet xmlns:r="http://schemas.openxmlformats.org/officeDocument/2006/relationships" name="Source financials" sheetId="4" r:id="R5e9fabeafc5f4141"/>
    <x:sheet xmlns:r="http://schemas.openxmlformats.org/officeDocument/2006/relationships" name="Rebate support" sheetId="5" r:id="R9e3793739f224285"/>
    <x:sheet xmlns:r="http://schemas.openxmlformats.org/officeDocument/2006/relationships" name="Quarterly review" sheetId="6" r:id="R6086ddccc0614af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1">
    <x:numFmt numFmtId="200" formatCode="#,##0.000;(#,##0.000);&quot;-&quot;"/>
    <x:numFmt numFmtId="201" formatCode="#,##0;(#,##0);&quot;-&quot;"/>
    <x:numFmt numFmtId="202" formatCode="0.00;(0.00);0.00"/>
    <x:numFmt numFmtId="203" formatCode="@"/>
    <x:numFmt numFmtId="204" formatCode="0.00%;(0.00%);&quot;-&quot;"/>
    <x:numFmt numFmtId="205" formatCode="$#,##0.000;($#,##0.000);&quot;-&quot;"/>
    <x:numFmt numFmtId="206" formatCode="0.00&quot;x&quot;;(0.00&quot;x&quot;);&quot;-&quot;"/>
    <x:numFmt numFmtId="207" formatCode="#,##0"/>
    <x:numFmt numFmtId="208" formatCode="  @"/>
    <x:numFmt numFmtId="209" formatCode="#,##0.0;(#,##0.0);&quot;-&quot;"/>
    <x:numFmt numFmtId="210" formatCode="0.0%;(0.0%);&quot;-&quot;"/>
  </x:numFmts>
  <x:fonts count="14">
    <x:font>
      <x:sz val="11"/>
      <x:name val="Carlito"/>
    </x:font>
    <x:font>
      <x:sz val="10"/>
      <x:color rgb="FF1C1A16"/>
      <x:name val="Arial"/>
    </x:font>
    <x:font>
      <x:sz val="10"/>
      <x:color rgb="FF0000FF"/>
      <x:name val="Arial"/>
    </x:font>
    <x:font>
      <x:sz val="10"/>
      <x:color rgb="FF57534A"/>
      <x:name val="Arial"/>
    </x:font>
    <x:font>
      <x:b/>
      <x:sz val="15"/>
      <x:color rgb="FF1C1A16"/>
      <x:name val="Arial"/>
    </x:font>
    <x:font>
      <x:i/>
      <x:sz val="10"/>
      <x:color rgb="FF1C1A16"/>
      <x:name val="Arial"/>
    </x:font>
    <x:font>
      <x:i/>
      <x:sz val="10"/>
      <x:color rgb="FF57534A"/>
      <x:name val="Arial"/>
    </x:font>
    <x:font>
      <x:b/>
      <x:sz val="10"/>
      <x:color rgb="FFFFFFFF"/>
      <x:name val="Arial"/>
    </x:font>
    <x:font>
      <x:b/>
      <x:sz val="10"/>
      <x:color rgb="FF1C1A16"/>
      <x:name val="Arial"/>
    </x:font>
    <x:font>
      <x:b/>
      <x:sz val="10"/>
      <x:color rgb="FF0000FF"/>
      <x:name val="Arial"/>
    </x:font>
    <x:font>
      <x:sz val="10"/>
      <x:color rgb="FF008000"/>
      <x:name val="Arial"/>
    </x:font>
    <x:font>
      <x:sz val="10"/>
      <x:color rgb="FF000000"/>
      <x:name val="Arial"/>
    </x:font>
    <x:font>
      <x:b/>
      <x:sz val="10"/>
      <x:color rgb="FF000000"/>
      <x:name val="Arial"/>
    </x:font>
    <x:font>
      <x:i/>
      <x:sz val="10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F4D3A"/>
      </x:patternFill>
    </x:fill>
    <x:fill>
      <x:patternFill patternType="solid">
        <x:fgColor rgb="FFF3F0E7"/>
      </x:patternFill>
    </x:fill>
    <x:fill>
      <x:patternFill patternType="solid">
        <x:fgColor rgb="FFFFF2CC"/>
      </x:patternFill>
    </x:fill>
  </x:fills>
  <x:borders count="3">
    <x:border/>
    <x:border>
      <x:bottom style="thin">
        <x:color rgb="FFC9C3B4"/>
      </x:bottom>
    </x:border>
    <x:border>
      <x:top style="thin">
        <x:color rgb="FFC9C3B4"/>
      </x:top>
    </x:border>
  </x:borders>
  <x:cellStyleXfs count="1">
    <x:xf numFmtId="0" fontId="0" fillId="0" borderId="0"/>
  </x:cellStyleXfs>
  <x:cellXfs count="9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horizontal="right" vertical="center" wrapText="0"/>
    </x:xf>
    <x:xf numFmtId="200" fontId="1" fillId="0" borderId="0" xfId="0" applyNumberFormat="1" applyFont="1" applyFill="1" applyBorder="1" applyAlignment="1">
      <x:alignment horizontal="right" vertical="center" wrapText="0"/>
    </x:xf>
    <x:xf numFmtId="200" fontId="2" fillId="0" borderId="0" xfId="0" applyNumberFormat="1" applyFont="1" applyFill="1" applyBorder="1" applyAlignment="1">
      <x:alignment horizontal="right"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4" fillId="0" borderId="0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vertical="center" wrapText="0"/>
    </x:xf>
    <x:xf numFmtId="0" fontId="5" fillId="0" borderId="1" xfId="0" applyNumberFormat="1" applyFont="1" applyFill="1" applyBorder="1" applyAlignment="1">
      <x:alignment vertical="center" wrapText="0"/>
    </x:xf>
    <x:xf numFmtId="0" fontId="6" fillId="0" borderId="1" xfId="0" applyNumberFormat="1" applyFont="1" applyFill="1" applyBorder="1" applyAlignment="1">
      <x:alignment vertical="center" wrapText="0"/>
    </x:xf>
    <x:xf numFmtId="201" fontId="1" fillId="0" borderId="0" xfId="0" applyNumberFormat="1" applyFont="1" applyFill="1" applyBorder="1" applyAlignment="1">
      <x:alignment horizontal="right" vertical="center" wrapText="0"/>
    </x:xf>
    <x:xf numFmtId="201" fontId="1" fillId="0" borderId="0" xfId="0" applyNumberFormat="1" applyFont="1" applyFill="1" applyBorder="1" applyAlignment="1">
      <x:alignment vertical="center" wrapText="0"/>
    </x:xf>
    <x:xf numFmtId="201" fontId="2" fillId="0" borderId="0" xfId="0" applyNumberFormat="1" applyFont="1" applyFill="1" applyBorder="1" applyAlignment="1">
      <x:alignment horizontal="right" vertical="center" wrapText="0"/>
    </x:xf>
    <x:xf numFmtId="201" fontId="3" fillId="0" borderId="0" xfId="0" applyNumberFormat="1" applyFont="1" applyFill="1" applyBorder="1" applyAlignment="1">
      <x:alignment vertical="center" wrapText="0"/>
    </x:xf>
    <x:xf numFmtId="201" fontId="3" fillId="0" borderId="0" xfId="0" applyNumberFormat="1" applyFont="1" applyFill="1" applyBorder="1" applyAlignment="1">
      <x:alignment horizontal="right" vertical="center" wrapText="0"/>
    </x:xf>
    <x:xf numFmtId="0" fontId="1" fillId="2" borderId="0" xfId="0" applyNumberFormat="1" applyFont="1" applyFill="1" applyBorder="1" applyAlignment="1">
      <x:alignment vertical="center" wrapText="0"/>
    </x:xf>
    <x:xf numFmtId="200" fontId="1" fillId="2" borderId="0" xfId="0" applyNumberFormat="1" applyFont="1" applyFill="1" applyBorder="1" applyAlignment="1">
      <x:alignment horizontal="right" vertical="center" wrapText="0"/>
    </x:xf>
    <x:xf numFmtId="0" fontId="7" fillId="2" borderId="0" xfId="0" applyNumberFormat="1" applyFont="1" applyFill="1" applyBorder="1" applyAlignment="1">
      <x:alignment vertical="center" wrapText="0"/>
    </x:xf>
    <x:xf numFmtId="200" fontId="7" fillId="2" borderId="0" xfId="0" applyNumberFormat="1" applyFont="1" applyFill="1" applyBorder="1" applyAlignment="1">
      <x:alignment horizontal="right" vertical="center" wrapText="0"/>
    </x:xf>
    <x:xf numFmtId="0" fontId="7" fillId="2" borderId="0" xfId="0" applyNumberFormat="1" applyFont="1" applyFill="1" applyBorder="1" applyAlignment="1">
      <x:alignment horizontal="center" vertical="center" wrapText="0"/>
    </x:xf>
    <x:xf numFmtId="200" fontId="7" fillId="2" borderId="0" xfId="0" applyNumberFormat="1" applyFont="1" applyFill="1" applyBorder="1" applyAlignment="1">
      <x:alignment horizontal="center" vertical="center" wrapText="0"/>
    </x:xf>
    <x:xf numFmtId="200" fontId="2" fillId="2" borderId="0" xfId="0" applyNumberFormat="1" applyFont="1" applyFill="1" applyBorder="1" applyAlignment="1">
      <x:alignment horizontal="right" vertical="center" wrapText="0"/>
    </x:xf>
    <x:xf numFmtId="0" fontId="3" fillId="2" borderId="0" xfId="0" applyNumberFormat="1" applyFont="1" applyFill="1" applyBorder="1" applyAlignment="1">
      <x:alignment vertical="center" wrapText="0"/>
    </x:xf>
    <x:xf numFmtId="0" fontId="8" fillId="0" borderId="0" xfId="0" applyNumberFormat="1" applyFont="1" applyFill="1" applyBorder="1" applyAlignment="1">
      <x:alignment vertical="center" wrapText="0"/>
    </x:xf>
    <x:xf numFmtId="201" fontId="9" fillId="0" borderId="0" xfId="0" applyNumberFormat="1" applyFont="1" applyFill="1" applyBorder="1" applyAlignment="1">
      <x:alignment horizontal="right" vertical="center" wrapText="0"/>
    </x:xf>
    <x:xf numFmtId="201" fontId="8" fillId="0" borderId="0" xfId="0" applyNumberFormat="1" applyFont="1" applyFill="1" applyBorder="1" applyAlignment="1">
      <x:alignment horizontal="right" vertical="center" wrapText="0"/>
    </x:xf>
    <x:xf numFmtId="0" fontId="8" fillId="0" borderId="2" xfId="0" applyNumberFormat="1" applyFont="1" applyFill="1" applyBorder="1" applyAlignment="1">
      <x:alignment vertical="center" wrapText="0"/>
    </x:xf>
    <x:xf numFmtId="201" fontId="9" fillId="0" borderId="2" xfId="0" applyNumberFormat="1" applyFont="1" applyFill="1" applyBorder="1" applyAlignment="1">
      <x:alignment horizontal="right" vertical="center" wrapText="0"/>
    </x:xf>
    <x:xf numFmtId="201" fontId="8" fillId="0" borderId="2" xfId="0" applyNumberFormat="1" applyFont="1" applyFill="1" applyBorder="1" applyAlignment="1">
      <x:alignment horizontal="right" vertical="center" wrapText="0"/>
    </x:xf>
    <x:xf numFmtId="0" fontId="1" fillId="3" borderId="0" xfId="0" applyNumberFormat="1" applyFont="1" applyFill="1" applyBorder="1" applyAlignment="1">
      <x:alignment vertical="center" wrapText="0"/>
    </x:xf>
    <x:xf numFmtId="201" fontId="1" fillId="3" borderId="0" xfId="0" applyNumberFormat="1" applyFont="1" applyFill="1" applyBorder="1" applyAlignment="1">
      <x:alignment horizontal="right" vertical="center" wrapText="0"/>
    </x:xf>
    <x:xf numFmtId="0" fontId="8" fillId="3" borderId="0" xfId="0" applyNumberFormat="1" applyFont="1" applyFill="1" applyBorder="1" applyAlignment="1">
      <x:alignment vertical="center" wrapText="0"/>
    </x:xf>
    <x:xf numFmtId="201" fontId="8" fillId="3" borderId="0" xfId="0" applyNumberFormat="1" applyFont="1" applyFill="1" applyBorder="1" applyAlignment="1">
      <x:alignment horizontal="right" vertical="center" wrapText="0"/>
    </x:xf>
    <x:xf numFmtId="202" fontId="1" fillId="0" borderId="0" xfId="0" applyNumberFormat="1" applyFont="1" applyFill="1" applyBorder="1" applyAlignment="1">
      <x:alignment horizontal="right" vertical="center" wrapText="0"/>
    </x:xf>
    <x:xf numFmtId="202" fontId="2" fillId="0" borderId="0" xfId="0" applyNumberFormat="1" applyFont="1" applyFill="1" applyBorder="1" applyAlignment="1">
      <x:alignment horizontal="right" vertical="center" wrapText="0"/>
    </x:xf>
    <x:xf numFmtId="202" fontId="3" fillId="0" borderId="0" xfId="0" applyNumberFormat="1" applyFont="1" applyFill="1" applyBorder="1" applyAlignment="1">
      <x:alignment horizontal="right" vertical="center" wrapText="0"/>
    </x:xf>
    <x:xf numFmtId="200" fontId="3" fillId="0" borderId="0" xfId="0" applyNumberFormat="1" applyFont="1" applyFill="1" applyBorder="1" applyAlignment="1">
      <x:alignment horizontal="right" vertical="center" wrapText="0"/>
    </x:xf>
    <x:xf numFmtId="201" fontId="1" fillId="2" borderId="0" xfId="0" applyNumberFormat="1" applyFont="1" applyFill="1" applyBorder="1" applyAlignment="1">
      <x:alignment horizontal="right" vertical="center" wrapText="0"/>
    </x:xf>
    <x:xf numFmtId="201" fontId="2" fillId="2" borderId="0" xfId="0" applyNumberFormat="1" applyFont="1" applyFill="1" applyBorder="1" applyAlignment="1">
      <x:alignment horizontal="right" vertical="center" wrapText="0"/>
    </x:xf>
    <x:xf numFmtId="201" fontId="7" fillId="2" borderId="0" xfId="0" applyNumberFormat="1" applyFont="1" applyFill="1" applyBorder="1" applyAlignment="1">
      <x:alignment horizontal="right" vertical="center" wrapText="0"/>
    </x:xf>
    <x:xf numFmtId="203" fontId="1" fillId="0" borderId="0" xfId="0" applyNumberFormat="1" applyFont="1" applyFill="1" applyBorder="1" applyAlignment="1">
      <x:alignment horizontal="right" vertical="center" wrapText="0"/>
    </x:xf>
    <x:xf numFmtId="204" fontId="1" fillId="0" borderId="0" xfId="0" applyNumberFormat="1" applyFont="1" applyFill="1" applyBorder="1" applyAlignment="1">
      <x:alignment horizontal="right" vertical="center" wrapText="0"/>
    </x:xf>
    <x:xf numFmtId="204" fontId="2" fillId="0" borderId="0" xfId="0" applyNumberFormat="1" applyFont="1" applyFill="1" applyBorder="1" applyAlignment="1">
      <x:alignment horizontal="right" vertical="center" wrapText="0"/>
    </x:xf>
    <x:xf numFmtId="205" fontId="2" fillId="0" borderId="0" xfId="0" applyNumberFormat="1" applyFont="1" applyFill="1" applyBorder="1" applyAlignment="1">
      <x:alignment horizontal="right" vertical="center" wrapText="0"/>
    </x:xf>
    <x:xf numFmtId="206" fontId="2" fillId="0" borderId="0" xfId="0" applyNumberFormat="1" applyFont="1" applyFill="1" applyBorder="1" applyAlignment="1">
      <x:alignment horizontal="right" vertical="center" wrapText="0"/>
    </x:xf>
    <x:xf numFmtId="207" fontId="2" fillId="0" borderId="0" xfId="0" applyNumberFormat="1" applyFont="1" applyFill="1" applyBorder="1" applyAlignment="1">
      <x:alignment horizontal="right" vertical="center" wrapText="0"/>
    </x:xf>
    <x:xf numFmtId="205" fontId="10" fillId="0" borderId="0" xfId="0" applyNumberFormat="1" applyFont="1" applyFill="1" applyBorder="1" applyAlignment="1">
      <x:alignment horizontal="right" vertical="center" wrapText="0"/>
    </x:xf>
    <x:xf numFmtId="200" fontId="10" fillId="0" borderId="0" xfId="0" applyNumberFormat="1" applyFont="1" applyFill="1" applyBorder="1" applyAlignment="1">
      <x:alignment horizontal="right" vertical="center" wrapText="0"/>
    </x:xf>
    <x:xf numFmtId="200" fontId="11" fillId="0" borderId="0" xfId="0" applyNumberFormat="1" applyFont="1" applyFill="1" applyBorder="1" applyAlignment="1">
      <x:alignment horizontal="right" vertical="center" wrapText="0"/>
    </x:xf>
    <x:xf numFmtId="205" fontId="11" fillId="0" borderId="0" xfId="0" applyNumberFormat="1" applyFont="1" applyFill="1" applyBorder="1" applyAlignment="1">
      <x:alignment horizontal="right" vertical="center" wrapText="0"/>
    </x:xf>
    <x:xf numFmtId="205" fontId="12" fillId="0" borderId="0" xfId="0" applyNumberFormat="1" applyFont="1" applyFill="1" applyBorder="1" applyAlignment="1">
      <x:alignment horizontal="right" vertical="center" wrapText="0"/>
    </x:xf>
    <x:xf numFmtId="205" fontId="12" fillId="0" borderId="2" xfId="0" applyNumberFormat="1" applyFont="1" applyFill="1" applyBorder="1" applyAlignment="1">
      <x:alignment horizontal="right" vertical="center" wrapText="0"/>
    </x:xf>
    <x:xf numFmtId="206" fontId="11" fillId="0" borderId="0" xfId="0" applyNumberFormat="1" applyFont="1" applyFill="1" applyBorder="1" applyAlignment="1">
      <x:alignment horizontal="right" vertical="center" wrapText="0"/>
    </x:xf>
    <x:xf numFmtId="0" fontId="5" fillId="0" borderId="0" xfId="0" applyNumberFormat="1" applyFont="1" applyFill="1" applyBorder="1" applyAlignment="1">
      <x:alignment vertical="center" wrapText="0"/>
    </x:xf>
    <x:xf numFmtId="206" fontId="13" fillId="0" borderId="0" xfId="0" applyNumberFormat="1" applyFont="1" applyFill="1" applyBorder="1" applyAlignment="1">
      <x:alignment horizontal="right" vertical="center" wrapText="0"/>
    </x:xf>
    <x:xf numFmtId="203" fontId="11" fillId="0" borderId="0" xfId="0" applyNumberFormat="1" applyFont="1" applyFill="1" applyBorder="1" applyAlignment="1">
      <x:alignment horizontal="right" vertical="center" wrapText="0"/>
    </x:xf>
    <x:xf numFmtId="200" fontId="1" fillId="4" borderId="0" xfId="0" applyNumberFormat="1" applyFont="1" applyFill="1" applyBorder="1" applyAlignment="1">
      <x:alignment horizontal="right" vertical="center" wrapText="0"/>
    </x:xf>
    <x:xf numFmtId="200" fontId="2" fillId="4" borderId="0" xfId="0" applyNumberFormat="1" applyFont="1" applyFill="1" applyBorder="1" applyAlignment="1">
      <x:alignment horizontal="right" vertical="center" wrapText="0"/>
    </x:xf>
    <x:xf numFmtId="203" fontId="2" fillId="4" borderId="0" xfId="0" applyNumberFormat="1" applyFont="1" applyFill="1" applyBorder="1" applyAlignment="1">
      <x:alignment horizontal="right" vertical="center" wrapText="0"/>
    </x:xf>
    <x:xf numFmtId="203" fontId="1" fillId="0" borderId="0" xfId="0" applyNumberFormat="1" applyFont="1" applyFill="1" applyBorder="1" applyAlignment="1">
      <x:alignment vertical="center" wrapText="0"/>
    </x:xf>
    <x:xf numFmtId="203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4" fontId="10" fillId="0" borderId="0" xfId="0" applyNumberFormat="1" applyFont="1" applyFill="1" applyBorder="1" applyAlignment="1">
      <x:alignment horizontal="right" vertical="center" wrapText="0"/>
    </x:xf>
    <x:xf numFmtId="204" fontId="11" fillId="0" borderId="0" xfId="0" applyNumberFormat="1" applyFont="1" applyFill="1" applyBorder="1" applyAlignment="1">
      <x:alignment horizontal="right" vertical="center" wrapText="0"/>
    </x:xf>
    <x:xf numFmtId="204" fontId="13" fillId="0" borderId="0" xfId="0" applyNumberFormat="1" applyFont="1" applyFill="1" applyBorder="1" applyAlignment="1">
      <x:alignment horizontal="right" vertical="center" wrapText="0"/>
    </x:xf>
    <x:xf numFmtId="0" fontId="1" fillId="0" borderId="0" xfId="0" applyNumberFormat="1" applyFont="1" applyFill="1" applyBorder="1" applyAlignment="1">
      <x:alignment horizontal="left" vertical="center" wrapText="0"/>
    </x:xf>
    <x:xf numFmtId="200" fontId="1" fillId="0" borderId="0" xfId="0" applyNumberFormat="1" applyFont="1" applyFill="1" applyBorder="1" applyAlignment="1">
      <x:alignment horizontal="left" vertical="center" wrapText="0"/>
    </x:xf>
    <x:xf numFmtId="0" fontId="1" fillId="2" borderId="0" xfId="0" applyNumberFormat="1" applyFont="1" applyFill="1" applyBorder="1" applyAlignment="1">
      <x:alignment horizontal="left" vertical="center" wrapText="0"/>
    </x:xf>
    <x:xf numFmtId="0" fontId="7" fillId="2" borderId="0" xfId="0" applyNumberFormat="1" applyFont="1" applyFill="1" applyBorder="1" applyAlignment="1">
      <x:alignment horizontal="left" vertical="center" wrapText="0"/>
    </x:xf>
    <x:xf numFmtId="200" fontId="1" fillId="0" borderId="0" xfId="0" applyNumberFormat="1" applyFont="1" applyFill="1" applyBorder="1" applyAlignment="1">
      <x:alignment horizontal="left" vertical="center" wrapText="1"/>
    </x:xf>
    <x:xf numFmtId="205" fontId="1" fillId="0" borderId="0" xfId="0" applyNumberFormat="1" applyFont="1" applyFill="1" applyBorder="1" applyAlignment="1">
      <x:alignment horizontal="left" vertical="center" wrapText="0"/>
    </x:xf>
    <x:xf numFmtId="205" fontId="1" fillId="0" borderId="0" xfId="0" applyNumberFormat="1" applyFont="1" applyFill="1" applyBorder="1" applyAlignment="1">
      <x:alignment horizontal="right" vertical="center" wrapText="0"/>
    </x:xf>
    <x:xf numFmtId="200" fontId="3" fillId="0" borderId="0" xfId="0" applyNumberFormat="1" applyFont="1" applyFill="1" applyBorder="1" applyAlignment="1">
      <x:alignment horizontal="left" vertical="center" wrapText="0"/>
    </x:xf>
    <x:xf numFmtId="200" fontId="1" fillId="2" borderId="0" xfId="0" applyNumberFormat="1" applyFont="1" applyFill="1" applyBorder="1" applyAlignment="1">
      <x:alignment horizontal="left" vertical="center" wrapText="0"/>
    </x:xf>
    <x:xf numFmtId="200" fontId="7" fillId="2" borderId="0" xfId="0" applyNumberFormat="1" applyFont="1" applyFill="1" applyBorder="1" applyAlignment="1">
      <x:alignment horizontal="left" vertical="center" wrapText="0"/>
    </x:xf>
    <x:xf numFmtId="200" fontId="8" fillId="0" borderId="0" xfId="0" applyNumberFormat="1" applyFont="1" applyFill="1" applyBorder="1" applyAlignment="1">
      <x:alignment horizontal="left" vertical="center" wrapText="0"/>
    </x:xf>
    <x:xf numFmtId="200" fontId="1" fillId="0" borderId="0" xfId="0" applyNumberFormat="1" applyFont="1" applyFill="1" applyBorder="1" applyAlignment="1">
      <x:alignment vertical="center" wrapText="0"/>
    </x:xf>
    <x:xf numFmtId="208" fontId="1" fillId="0" borderId="0" xfId="0" applyNumberFormat="1" applyFont="1" applyFill="1" applyBorder="1" applyAlignment="1">
      <x:alignment vertical="center" wrapText="0"/>
    </x:xf>
    <x:xf numFmtId="200" fontId="8" fillId="0" borderId="0" xfId="0" applyNumberFormat="1" applyFont="1" applyFill="1" applyBorder="1" applyAlignment="1">
      <x:alignment horizontal="right" vertical="center" wrapText="0"/>
    </x:xf>
    <x:xf numFmtId="200" fontId="8" fillId="0" borderId="2" xfId="0" applyNumberFormat="1" applyFont="1" applyFill="1" applyBorder="1" applyAlignment="1">
      <x:alignment horizontal="left" vertical="center" wrapText="0"/>
    </x:xf>
    <x:xf numFmtId="200" fontId="8" fillId="0" borderId="2" xfId="0" applyNumberFormat="1" applyFont="1" applyFill="1" applyBorder="1" applyAlignment="1">
      <x:alignment horizontal="right" vertical="center" wrapText="0"/>
    </x:xf>
    <x:xf numFmtId="209" fontId="1" fillId="0" borderId="0" xfId="0" applyNumberFormat="1" applyFont="1" applyFill="1" applyBorder="1" applyAlignment="1">
      <x:alignment horizontal="right" vertical="center" wrapText="0"/>
    </x:xf>
    <x:xf numFmtId="209" fontId="1" fillId="0" borderId="0" xfId="0" applyNumberFormat="1" applyFont="1" applyFill="1" applyBorder="1" applyAlignment="1">
      <x:alignment vertical="center" wrapText="0"/>
    </x:xf>
    <x:xf numFmtId="209" fontId="2" fillId="0" borderId="0" xfId="0" applyNumberFormat="1" applyFont="1" applyFill="1" applyBorder="1" applyAlignment="1">
      <x:alignment horizontal="right" vertical="center" wrapText="0"/>
    </x:xf>
    <x:xf numFmtId="209" fontId="10" fillId="0" borderId="0" xfId="0" applyNumberFormat="1" applyFont="1" applyFill="1" applyBorder="1" applyAlignment="1">
      <x:alignment horizontal="right" vertical="center" wrapText="0"/>
    </x:xf>
    <x:xf numFmtId="201" fontId="10" fillId="0" borderId="0" xfId="0" applyNumberFormat="1" applyFont="1" applyFill="1" applyBorder="1" applyAlignment="1">
      <x:alignment horizontal="right" vertical="center" wrapText="0"/>
    </x:xf>
    <x:xf numFmtId="210" fontId="1" fillId="0" borderId="0" xfId="0" applyNumberFormat="1" applyFont="1" applyFill="1" applyBorder="1" applyAlignment="1">
      <x:alignment horizontal="right" vertical="center" wrapText="0"/>
    </x:xf>
    <x:xf numFmtId="210" fontId="5" fillId="0" borderId="0" xfId="0" applyNumberFormat="1" applyFont="1" applyFill="1" applyBorder="1" applyAlignment="1">
      <x:alignment horizontal="right" vertical="center" wrapText="0"/>
    </x:xf>
    <x:xf numFmtId="209" fontId="8" fillId="0" borderId="0" xfId="0" applyNumberFormat="1" applyFont="1" applyFill="1" applyBorder="1" applyAlignment="1">
      <x:alignment horizontal="right" vertical="center" wrapText="0"/>
    </x:xf>
    <x:xf numFmtId="209" fontId="8" fillId="0" borderId="2" xfId="0" applyNumberFormat="1" applyFont="1" applyFill="1" applyBorder="1" applyAlignment="1">
      <x:alignment horizontal="right" vertical="center" wrapText="0"/>
    </x:xf>
    <x:xf numFmtId="209" fontId="1" fillId="2" borderId="0" xfId="0" applyNumberFormat="1" applyFont="1" applyFill="1" applyBorder="1" applyAlignment="1">
      <x:alignment horizontal="right" vertical="center" wrapText="0"/>
    </x:xf>
    <x:xf numFmtId="209" fontId="7" fillId="2" borderId="0" xfId="0" applyNumberFormat="1" applyFont="1" applyFill="1" applyBorder="1" applyAlignment="1">
      <x:alignment horizontal="right" vertical="center" wrapText="0"/>
    </x:xf>
  </x:cellXfs>
  <x:cellStyles count="1">
    <x:cellStyle name="Normal" xfId="0"/>
  </x:cellStyles>
  <x:dxfs count="4"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faf78fea184b3c" /><Relationship Type="http://schemas.openxmlformats.org/officeDocument/2006/relationships/theme" Target="/xl/theme/theme1.xml" Id="Rfeae1f5912494b8a" /><Relationship Type="http://schemas.openxmlformats.org/officeDocument/2006/relationships/sharedStrings" Target="/xl/sharedStrings.xml" Id="R1a189f1b209a44f3" /><Relationship Type="http://schemas.openxmlformats.org/officeDocument/2006/relationships/worksheet" Target="/xl/worksheets/sheet1.xml" Id="R3b10b450093f480e" /><Relationship Type="http://schemas.openxmlformats.org/officeDocument/2006/relationships/worksheet" Target="/xl/worksheets/sheet2.xml" Id="R942637d849244158" /><Relationship Type="http://schemas.openxmlformats.org/officeDocument/2006/relationships/worksheet" Target="/xl/worksheets/sheet3.xml" Id="R929ef9a4bdc84823" /><Relationship Type="http://schemas.openxmlformats.org/officeDocument/2006/relationships/worksheet" Target="/xl/worksheets/sheet4.xml" Id="R5e9fabeafc5f4141" /><Relationship Type="http://schemas.openxmlformats.org/officeDocument/2006/relationships/worksheet" Target="/xl/worksheets/sheet5.xml" Id="R9e3793739f224285" /><Relationship Type="http://schemas.openxmlformats.org/officeDocument/2006/relationships/worksheet" Target="/xl/worksheets/sheet6.xml" Id="R6086ddccc0614af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F4D3A"/>
  </x:sheetPr>
  <x:sheetViews>
    <x:sheetView showGridLines="0" workbookViewId="0"/>
  </x:sheetViews>
  <x:sheetFormatPr defaultRowHeight="15"/>
  <x:cols>
    <x:col min="1" max="1" width="3" hidden="0" customWidth="1"/>
    <x:col min="2" max="2" width="39" hidden="0" customWidth="1"/>
    <x:col min="3" max="3" width="22" hidden="0" customWidth="1"/>
    <x:col min="4" max="4" width="3" hidden="0" customWidth="1"/>
    <x:col min="5" max="5" width="39" hidden="0" customWidth="1"/>
    <x:col min="6" max="6" width="16" hidden="0" customWidth="1"/>
    <x:col min="7" max="7" width="3" hidden="0" customWidth="1"/>
    <x:col min="8" max="8" width="24" hidden="0" customWidth="1"/>
    <x:col min="9" max="9" width="3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28" customHeight="1">
      <x:c r="A2" s="3"/>
      <x:c r="B2" s="8" t="str">
        <x:v>Calder Industrial Supply</x:v>
      </x:c>
      <x:c r="C2" s="8"/>
      <x:c r="D2" s="8"/>
      <x:c r="E2" s="8"/>
      <x:c r="F2" s="8"/>
      <x:c r="G2" s="8"/>
      <x:c r="H2" s="8"/>
      <x:c r="I2" s="3"/>
    </x:row>
    <x:row r="3" ht="21" customHeight="1">
      <x:c r="A3" s="3"/>
      <x:c r="B3" s="11" t="str">
        <x:v>Completed solution. March 2 opening view. USD millions.</x:v>
      </x:c>
      <x:c r="C3" s="11"/>
      <x:c r="D3" s="11"/>
      <x:c r="E3" s="11"/>
      <x:c r="F3" s="11"/>
      <x:c r="G3" s="11"/>
      <x:c r="H3" s="11"/>
      <x:c r="I3" s="3"/>
    </x:row>
    <x:row r="4" ht="21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24" customHeight="1">
      <x:c r="A5" s="3"/>
      <x:c r="B5" s="19" t="str">
        <x:v>Opening calculation</x:v>
      </x:c>
      <x:c r="C5" s="19"/>
      <x:c r="D5" s="3"/>
      <x:c r="E5" s="19" t="str">
        <x:v>Seller facts and mandate</x:v>
      </x:c>
      <x:c r="F5" s="19"/>
      <x:c r="G5" s="3"/>
      <x:c r="H5" s="3" t="str">
        <x:v>Source</x:v>
      </x:c>
      <x:c r="I5" s="3"/>
    </x:row>
    <x:row r="6" ht="21" customHeight="1">
      <x:c r="A6" s="3"/>
      <x:c r="B6" s="3"/>
      <x:c r="C6" s="5"/>
      <x:c r="D6" s="3"/>
      <x:c r="E6" s="3" t="str">
        <x:v>Revenue</x:v>
      </x:c>
      <x:c r="F6" s="48" t="n">
        <x:f>'Source financials'!D7/$F$20</x:f>
        <x:v>34</x:v>
      </x:c>
      <x:c r="G6" s="3"/>
      <x:c r="H6" s="7" t="str">
        <x:v>DOC-04 rollup / 1,000</x:v>
      </x:c>
      <x:c r="I6" s="3"/>
    </x:row>
    <x:row r="7" ht="21" customHeight="1">
      <x:c r="A7" s="3"/>
      <x:c r="B7" s="3" t="str">
        <x:v>Recomputed reported EBITDA</x:v>
      </x:c>
      <x:c r="C7" s="51" t="n">
        <x:f>F6-F7-F8</x:f>
        <x:v>3.6000000000000005</x:v>
      </x:c>
      <x:c r="D7" s="3"/>
      <x:c r="E7" s="3" t="str">
        <x:v>Reported COGS, net</x:v>
      </x:c>
      <x:c r="F7" s="49" t="n">
        <x:f>'Source financials'!D10/$F$20</x:f>
        <x:v>26.2</x:v>
      </x:c>
      <x:c r="G7" s="3"/>
      <x:c r="H7" s="7" t="str">
        <x:v>DOC-04 rollup / 1,000</x:v>
      </x:c>
      <x:c r="I7" s="3"/>
    </x:row>
    <x:row r="8" ht="21" customHeight="1">
      <x:c r="A8" s="3"/>
      <x:c r="B8" s="3" t="str">
        <x:v>Accepted adjustments</x:v>
      </x:c>
      <x:c r="C8" s="50" t="n">
        <x:f>SUM(F10:F11)</x:f>
        <x:v>0.3</x:v>
      </x:c>
      <x:c r="D8" s="3"/>
      <x:c r="E8" s="3" t="str">
        <x:v>Cash operating expenses</x:v>
      </x:c>
      <x:c r="F8" s="49" t="n">
        <x:f>'Source financials'!D11/$F$20</x:f>
        <x:v>4.2</x:v>
      </x:c>
      <x:c r="G8" s="3"/>
      <x:c r="H8" s="7" t="str">
        <x:v>DOC-04 rollup / 1,000</x:v>
      </x:c>
      <x:c r="I8" s="3"/>
    </x:row>
    <x:row r="9" ht="21" customHeight="1">
      <x:c r="A9" s="3"/>
      <x:c r="B9" s="28" t="str">
        <x:v>Opening adjusted EBITDA</x:v>
      </x:c>
      <x:c r="C9" s="53" t="n">
        <x:f>SUM(C7:C8)</x:f>
        <x:v>3.9000000000000004</x:v>
      </x:c>
      <x:c r="D9" s="3"/>
      <x:c r="E9" s="3" t="str">
        <x:v>Seller reported EBITDA</x:v>
      </x:c>
      <x:c r="F9" s="49" t="n">
        <x:f>'Source financials'!D12/$F$20</x:f>
        <x:v>3.6</x:v>
      </x:c>
      <x:c r="G9" s="3"/>
      <x:c r="H9" s="7" t="str">
        <x:v>DOC-04 rollup / 1,000</x:v>
      </x:c>
      <x:c r="I9" s="3"/>
    </x:row>
    <x:row r="10" ht="21" customHeight="1">
      <x:c r="A10" s="3"/>
      <x:c r="B10" s="3"/>
      <x:c r="C10" s="5"/>
      <x:c r="D10" s="3"/>
      <x:c r="E10" s="3" t="str">
        <x:v>ERP implementation expense</x:v>
      </x:c>
      <x:c r="F10" s="49" t="n">
        <x:f>'Source financials'!D14/$F$20</x:f>
        <x:v>0.18</x:v>
      </x:c>
      <x:c r="G10" s="3"/>
      <x:c r="H10" s="7" t="str">
        <x:v>DOC-04 rollup / 1,000</x:v>
      </x:c>
      <x:c r="I10" s="3"/>
    </x:row>
    <x:row r="11" ht="21" customHeight="1">
      <x:c r="A11" s="3"/>
      <x:c r="B11" s="3" t="str">
        <x:v>Opening enterprise value ask</x:v>
      </x:c>
      <x:c r="C11" s="51" t="n">
        <x:f>F12</x:f>
        <x:v>25</x:v>
      </x:c>
      <x:c r="D11" s="3"/>
      <x:c r="E11" s="3" t="str">
        <x:v>Owner personal expenses</x:v>
      </x:c>
      <x:c r="F11" s="49" t="n">
        <x:f>'Source financials'!D15/$F$20</x:f>
        <x:v>0.12</x:v>
      </x:c>
      <x:c r="G11" s="3"/>
      <x:c r="H11" s="7" t="str">
        <x:v>DOC-04 rollup / 1,000</x:v>
      </x:c>
      <x:c r="I11" s="3"/>
    </x:row>
    <x:row r="12" ht="21" customHeight="1">
      <x:c r="A12" s="3"/>
      <x:c r="B12" s="3" t="str">
        <x:v>EV ceiling from entry multiple</x:v>
      </x:c>
      <x:c r="C12" s="50" t="n">
        <x:f>C9*F14</x:f>
        <x:v>23.400000000000002</x:v>
      </x:c>
      <x:c r="D12" s="3"/>
      <x:c r="E12" s="3" t="str">
        <x:v>Opening enterprise value ask</x:v>
      </x:c>
      <x:c r="F12" s="45" t="n">
        <x:v>25</x:v>
      </x:c>
      <x:c r="G12" s="3"/>
      <x:c r="H12" s="7" t="str">
        <x:v>DOC-01</x:v>
      </x:c>
      <x:c r="I12" s="3"/>
    </x:row>
    <x:row r="13" ht="21" customHeight="1">
      <x:c r="A13" s="3"/>
      <x:c r="B13" s="3" t="str">
        <x:v>Debt drawn</x:v>
      </x:c>
      <x:c r="C13" s="50" t="n">
        <x:f>C9*F15</x:f>
        <x:v>12.675</x:v>
      </x:c>
      <x:c r="D13" s="3"/>
      <x:c r="E13" s="3"/>
      <x:c r="F13" s="6"/>
      <x:c r="G13" s="3"/>
      <x:c r="H13" s="7"/>
      <x:c r="I13" s="3"/>
    </x:row>
    <x:row r="14" ht="21" customHeight="1">
      <x:c r="A14" s="3"/>
      <x:c r="B14" s="3" t="str">
        <x:v>Total uses at opening ask</x:v>
      </x:c>
      <x:c r="C14" s="50" t="n">
        <x:f>SUM(C11,F17:F18)</x:f>
        <x:v>26</x:v>
      </x:c>
      <x:c r="D14" s="3"/>
      <x:c r="E14" s="3" t="str">
        <x:v>Maximum entry multiple</x:v>
      </x:c>
      <x:c r="F14" s="46" t="n">
        <x:v>6</x:v>
      </x:c>
      <x:c r="G14" s="3"/>
      <x:c r="H14" s="7" t="str">
        <x:v>DOC-02</x:v>
      </x:c>
      <x:c r="I14" s="3"/>
    </x:row>
    <x:row r="15" ht="21" customHeight="1">
      <x:c r="A15" s="3"/>
      <x:c r="B15" s="28" t="str">
        <x:v>Sponsor equity at opening ask</x:v>
      </x:c>
      <x:c r="C15" s="53" t="n">
        <x:f>C14-C13</x:f>
        <x:v>13.325</x:v>
      </x:c>
      <x:c r="D15" s="3"/>
      <x:c r="E15" s="3" t="str">
        <x:v>Debt / supported adjusted EBITDA</x:v>
      </x:c>
      <x:c r="F15" s="46" t="n">
        <x:v>3.25</x:v>
      </x:c>
      <x:c r="G15" s="3"/>
      <x:c r="H15" s="7" t="str">
        <x:v>DOC-02</x:v>
      </x:c>
      <x:c r="I15" s="3"/>
    </x:row>
    <x:row r="16" ht="21" customHeight="1">
      <x:c r="A16" s="3"/>
      <x:c r="B16" s="3" t="str">
        <x:v>Equity headroom at opening ask</x:v>
      </x:c>
      <x:c r="C16" s="50" t="n">
        <x:f>F16-C15</x:f>
        <x:v>-1.3249999999999993</x:v>
      </x:c>
      <x:c r="D16" s="3"/>
      <x:c r="E16" s="3" t="str">
        <x:v>Sponsor equity cap</x:v>
      </x:c>
      <x:c r="F16" s="45" t="n">
        <x:v>12</x:v>
      </x:c>
      <x:c r="G16" s="3"/>
      <x:c r="H16" s="7" t="str">
        <x:v>DOC-02</x:v>
      </x:c>
      <x:c r="I16" s="3"/>
    </x:row>
    <x:row r="17" ht="21" customHeight="1">
      <x:c r="A17" s="3"/>
      <x:c r="B17" s="3" t="str">
        <x:v>EV ceiling from equity cap</x:v>
      </x:c>
      <x:c r="C17" s="50" t="n">
        <x:f>F16+C13-SUM(F17:F18)</x:f>
        <x:v>23.675</x:v>
      </x:c>
      <x:c r="D17" s="3"/>
      <x:c r="E17" s="3" t="str">
        <x:v>Transaction fees</x:v>
      </x:c>
      <x:c r="F17" s="6" t="n">
        <x:v>0.6</x:v>
      </x:c>
      <x:c r="G17" s="3"/>
      <x:c r="H17" s="7" t="str">
        <x:v>DOC-02</x:v>
      </x:c>
      <x:c r="I17" s="3"/>
    </x:row>
    <x:row r="18" ht="21" customHeight="1">
      <x:c r="A18" s="3"/>
      <x:c r="B18" s="28" t="str">
        <x:v>Maximum bid under both limits</x:v>
      </x:c>
      <x:c r="C18" s="53" t="n">
        <x:f>MIN(C12,C17)</x:f>
        <x:v>23.400000000000002</x:v>
      </x:c>
      <x:c r="D18" s="3"/>
      <x:c r="E18" s="3" t="str">
        <x:v>Incremental minimum cash</x:v>
      </x:c>
      <x:c r="F18" s="6" t="n">
        <x:v>0.4</x:v>
      </x:c>
      <x:c r="G18" s="3"/>
      <x:c r="H18" s="7" t="str">
        <x:v>DOC-02</x:v>
      </x:c>
      <x:c r="I18" s="3"/>
    </x:row>
    <x:row r="19" ht="21" customHeight="1">
      <x:c r="A19" s="3"/>
      <x:c r="B19" s="55" t="str">
        <x:v>Entry multiple at opening ask</x:v>
      </x:c>
      <x:c r="C19" s="56" t="n">
        <x:f>C11/C9</x:f>
        <x:v>6.41025641025641</x:v>
      </x:c>
      <x:c r="D19" s="3"/>
      <x:c r="E19" s="3"/>
      <x:c r="F19" s="6"/>
      <x:c r="G19" s="3"/>
      <x:c r="H19" s="7"/>
      <x:c r="I19" s="3"/>
    </x:row>
    <x:row r="20" ht="21" customHeight="1">
      <x:c r="A20" s="3"/>
      <x:c r="B20" s="3" t="str">
        <x:v>Mandate at opening ask</x:v>
      </x:c>
      <x:c r="C20" s="57" t="str">
        <x:f>IF(AND(C11&lt;=C18,C15&lt;=F16),"Within limits","Outside limits")</x:f>
        <x:v>Outside limits</x:v>
      </x:c>
      <x:c r="D20" s="3"/>
      <x:c r="E20" s="3" t="str">
        <x:v>Source $000 per $m</x:v>
      </x:c>
      <x:c r="F20" s="47" t="n">
        <x:v>1000</x:v>
      </x:c>
      <x:c r="G20" s="3"/>
      <x:c r="H20" s="7"/>
      <x:c r="I20" s="3"/>
    </x:row>
    <x:row r="21" ht="21" customHeight="1">
      <x:c r="A21" s="3"/>
      <x:c r="B21" s="3"/>
      <x:c r="C21" s="5"/>
      <x:c r="D21" s="3"/>
      <x:c r="E21" s="3"/>
      <x:c r="F21" s="6"/>
      <x:c r="G21" s="3"/>
      <x:c r="H21" s="7"/>
      <x:c r="I21" s="3"/>
    </x:row>
    <x:row r="22" ht="24" customHeight="1">
      <x:c r="A22" s="3"/>
      <x:c r="B22" s="19" t="str">
        <x:v>Opening recommendation</x:v>
      </x:c>
      <x:c r="C22" s="20"/>
      <x:c r="D22" s="3"/>
      <x:c r="E22" s="25" t="str">
        <x:v>Opening rationale and condition</x:v>
      </x:c>
      <x:c r="F22" s="6"/>
      <x:c r="G22" s="3"/>
      <x:c r="H22" s="7"/>
      <x:c r="I22" s="3"/>
    </x:row>
    <x:row r="23" ht="86" customHeight="1">
      <x:c r="A23" s="3"/>
      <x:c r="B23" s="3" t="str">
        <x:v>Decision</x:v>
      </x:c>
      <x:c r="C23" s="60" t="str">
        <x:v>Reprice</x:v>
      </x:c>
      <x:c r="D23" s="3"/>
      <x:c r="E23" s="62" t="str">
        <x:v>The ask exceeds both DOC-02 limits. Reprice within authority and validate vendor accruals before exclusivity. For owner-operation, confirm a credible management transition.</x:v>
      </x:c>
      <x:c r="F23" s="6"/>
      <x:c r="G23" s="3"/>
      <x:c r="H23" s="7"/>
      <x:c r="I23" s="3"/>
    </x:row>
    <x:row r="24" ht="32" customHeight="1">
      <x:c r="A24" s="3"/>
      <x:c r="B24" s="3" t="str">
        <x:v>Proposed enterprise value</x:v>
      </x:c>
      <x:c r="C24" s="58" t="n">
        <x:f>C18</x:f>
        <x:v>23.400000000000002</x:v>
      </x:c>
      <x:c r="D24" s="3"/>
      <x:c r="E24" s="63" t="str">
        <x:v>Cite a source and state the condition to advance.</x:v>
      </x:c>
      <x:c r="F24" s="6"/>
      <x:c r="G24" s="3"/>
      <x:c r="H24" s="7"/>
      <x:c r="I24" s="3"/>
    </x:row>
    <x:row r="25" ht="21" customHeight="1">
      <x:c r="A25" s="3"/>
      <x:c r="B25" s="3"/>
      <x:c r="C25" s="5"/>
      <x:c r="D25" s="3"/>
      <x:c r="E25" s="3" t="str">
        <x:v>Preserve this rationale before the next release.</x:v>
      </x:c>
      <x:c r="F25" s="6"/>
      <x:c r="G25" s="3"/>
      <x:c r="H25" s="7"/>
      <x:c r="I25" s="3"/>
    </x:row>
    <x:row r="26" ht="21" customHeight="1">
      <x:c r="A26" s="3"/>
      <x:c r="B26" s="3"/>
      <x:c r="C26" s="5"/>
      <x:c r="D26" s="3"/>
      <x:c r="E26" s="3"/>
      <x:c r="F26" s="6"/>
      <x:c r="G26" s="3"/>
      <x:c r="H26" s="7"/>
      <x:c r="I26" s="3"/>
    </x:row>
    <x:row r="27" ht="24" customHeight="1">
      <x:c r="A27" s="3"/>
      <x:c r="B27" s="19" t="str">
        <x:v>Case conventions</x:v>
      </x:c>
      <x:c r="C27" s="20"/>
      <x:c r="D27" s="3"/>
      <x:c r="E27" s="3"/>
      <x:c r="F27" s="6"/>
      <x:c r="G27" s="3"/>
      <x:c r="H27" s="7"/>
      <x:c r="I27" s="3"/>
    </x:row>
    <x:row r="28" ht="21" customHeight="1">
      <x:c r="A28" s="3"/>
      <x:c r="B28" s="7" t="str">
        <x:v>Cash/debt-free consideration includes normalized operating working capital; extra minimum cash is equity-funded.</x:v>
      </x:c>
      <x:c r="C28" s="38"/>
      <x:c r="D28" s="7"/>
      <x:c r="E28" s="7"/>
      <x:c r="F28" s="38"/>
      <x:c r="G28" s="7"/>
      <x:c r="H28" s="7"/>
      <x:c r="I28" s="3"/>
    </x:row>
    <x:row r="29" ht="21" customHeight="1">
      <x:c r="A29" s="3"/>
      <x:c r="B29" s="7" t="str">
        <x:v>Debt is a screening assumption at the stipulated multiple, not a lender commitment.</x:v>
      </x:c>
      <x:c r="C29" s="38"/>
      <x:c r="D29" s="7"/>
      <x:c r="E29" s="7"/>
      <x:c r="F29" s="38"/>
      <x:c r="G29" s="7"/>
      <x:c r="H29" s="7"/>
      <x:c r="I29" s="3"/>
    </x:row>
    <x:row r="30" ht="21" customHeight="1">
      <x:c r="A30" s="3"/>
      <x:c r="B30" s="7" t="str">
        <x:v>No closing true-up, taxes, debt amortization, exit case or investment return is supplied.</x:v>
      </x:c>
      <x:c r="C30" s="38"/>
      <x:c r="D30" s="7"/>
      <x:c r="E30" s="7"/>
      <x:c r="F30" s="38"/>
      <x:c r="G30" s="7"/>
      <x:c r="H30" s="7"/>
      <x:c r="I30" s="3"/>
    </x:row>
    <x:row r="31" ht="21" customHeight="1">
      <x:c r="A31" s="3"/>
      <x:c r="B31" s="7" t="str">
        <x:v>Blue: source/input. Yellow: learner response. Black: formula. Green: linked calculation.</x:v>
      </x:c>
      <x:c r="C31" s="38"/>
      <x:c r="D31" s="7"/>
      <x:c r="E31" s="7"/>
      <x:c r="F31" s="38"/>
      <x:c r="G31" s="7"/>
      <x:c r="H31" s="7"/>
      <x:c r="I31" s="3"/>
    </x:row>
    <x:row r="32" ht="21" customHeight="1">
      <x:c r="A32" s="3"/>
      <x:c r="B32" s="3"/>
      <x:c r="C32" s="5"/>
      <x:c r="D32" s="3"/>
      <x:c r="E32" s="3"/>
      <x:c r="F32" s="6"/>
      <x:c r="G32" s="3"/>
      <x:c r="H32" s="7"/>
      <x:c r="I32" s="3"/>
    </x:row>
    <x:row r="33" ht="21" customHeight="1">
      <x:c r="A33" s="3"/>
      <x:c r="B33" s="7" t="str">
        <x:v>This free sample includes later evidence in separate tabs. Complete the opening view before reading that evidence.</x:v>
      </x:c>
      <x:c r="C33" s="38"/>
      <x:c r="D33" s="7"/>
      <x:c r="E33" s="7"/>
      <x:c r="F33" s="38"/>
      <x:c r="G33" s="7"/>
      <x:c r="H33" s="7"/>
      <x:c r="I33" s="3"/>
    </x:row>
    <x:row r="34" ht="21" customHeight="1">
      <x:c r="A34" s="3"/>
      <x:c r="B34" s="7" t="str">
        <x:v>All company facts and records are original fiction. Workbook calculations use $m; source schedules use $000.</x:v>
      </x:c>
      <x:c r="C34" s="38"/>
      <x:c r="D34" s="7"/>
      <x:c r="E34" s="7"/>
      <x:c r="F34" s="38"/>
      <x:c r="G34" s="7"/>
      <x:c r="H34" s="7"/>
      <x:c r="I34" s="3"/>
    </x:row>
    <x:row r="35" ht="21" customHeight="1">
      <x:c r="A35" s="3"/>
      <x:c r="B35" s="7" t="str">
        <x:v>Role: acquisition lead reporting to capital partners. Searchers should also state an owner-operator condition (DOC-02).</x:v>
      </x:c>
      <x:c r="C35" s="38"/>
      <x:c r="D35" s="7"/>
      <x:c r="E35" s="7"/>
      <x:c r="F35" s="38"/>
      <x:c r="G35" s="7"/>
      <x:c r="H35" s="7"/>
      <x:c r="I35" s="3"/>
    </x:row>
    <x:row r="36" ht="21" customHeight="1">
      <x:c r="A36" s="3"/>
      <x:c r="B36" s="3" t="str">
        <x:v>Reported EBITDA reconciliation</x:v>
      </x:c>
      <x:c r="C36" s="35" t="n">
        <x:f>C7-F9</x:f>
        <x:v>4.440892098500626e-16</x:v>
      </x:c>
      <x:c r="D36" s="3"/>
      <x:c r="E36" s="3"/>
      <x:c r="F36" s="6"/>
      <x:c r="G36" s="3"/>
      <x:c r="H36" s="7"/>
      <x:c r="I36" s="3"/>
    </x:row>
  </x:sheetData>
  <x:conditionalFormatting sqref="C20:C20">
    <x:cfRule type="containsText" dxfId="3" priority="1" operator="containsText" text="Outside"/>
  </x:conditionalFormatting>
  <x:dataValidations count="1">
    <x:dataValidation type="list" sqref="C23">
      <x:formula1>"Proceed,Reprice,Pause,Pass"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7534A"/>
  </x:sheetPr>
  <x:sheetViews>
    <x:sheetView showGridLines="0" workbookViewId="0"/>
  </x:sheetViews>
  <x:sheetFormatPr defaultRowHeight="15"/>
  <x:cols>
    <x:col min="1" max="1" width="3" hidden="0" customWidth="1"/>
    <x:col min="2" max="2" width="39" hidden="0" customWidth="1"/>
    <x:col min="3" max="3" width="22" hidden="0" customWidth="1"/>
    <x:col min="4" max="4" width="3" hidden="0" customWidth="1"/>
    <x:col min="5" max="5" width="39" hidden="0" customWidth="1"/>
    <x:col min="6" max="6" width="16" hidden="0" customWidth="1"/>
    <x:col min="7" max="7" width="3" hidden="0" customWidth="1"/>
    <x:col min="8" max="8" width="24" hidden="0" customWidth="1"/>
    <x:col min="9" max="9" width="3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28" customHeight="1">
      <x:c r="A2" s="3"/>
      <x:c r="B2" s="8" t="str">
        <x:v>Calder: exclusivity update</x:v>
      </x:c>
      <x:c r="C2" s="8"/>
      <x:c r="D2" s="8"/>
      <x:c r="E2" s="8"/>
      <x:c r="F2" s="8"/>
      <x:c r="G2" s="8"/>
      <x:c r="H2" s="8"/>
      <x:c r="I2" s="3"/>
    </x:row>
    <x:row r="3" ht="21" customHeight="1">
      <x:c r="A3" s="3"/>
      <x:c r="B3" s="11" t="str">
        <x:v>Completed solution. April 13, 2026. USD millions.</x:v>
      </x:c>
      <x:c r="C3" s="11"/>
      <x:c r="D3" s="11"/>
      <x:c r="E3" s="11"/>
      <x:c r="F3" s="11"/>
      <x:c r="G3" s="11"/>
      <x:c r="H3" s="11"/>
      <x:c r="I3" s="3"/>
    </x:row>
    <x:row r="4" ht="21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24" customHeight="1">
      <x:c r="A5" s="3"/>
      <x:c r="B5" s="19" t="str">
        <x:v>Revised calculation</x:v>
      </x:c>
      <x:c r="C5" s="19"/>
      <x:c r="D5" s="3"/>
      <x:c r="E5" s="19" t="str">
        <x:v>Program and signed LOI</x:v>
      </x:c>
      <x:c r="F5" s="19"/>
      <x:c r="G5" s="3"/>
      <x:c r="H5" s="3" t="str">
        <x:v>Source</x:v>
      </x:c>
      <x:c r="I5" s="3"/>
    </x:row>
    <x:row r="6" ht="21" customHeight="1">
      <x:c r="A6" s="3"/>
      <x:c r="B6" s="3"/>
      <x:c r="C6" s="5"/>
      <x:c r="D6" s="3"/>
      <x:c r="E6" s="3" t="str">
        <x:v>Your eligible annual purchases</x:v>
      </x:c>
      <x:c r="F6" s="48" t="n">
        <x:f>'Rebate support'!C56/'Initial view'!$F$20</x:f>
        <x:v>10</x:v>
      </x:c>
      <x:c r="G6" s="3"/>
      <x:c r="H6" s="7" t="str">
        <x:v>Your DOC-05 reconciliation</x:v>
      </x:c>
      <x:c r="I6" s="3"/>
    </x:row>
    <x:row r="7" ht="21" customHeight="1">
      <x:c r="A7" s="3"/>
      <x:c r="B7" s="55" t="str">
        <x:v>Applicable program rate</x:v>
      </x:c>
      <x:c r="C7" s="66" t="n">
        <x:f>IF(F6&gt;=F7,F9,F8)</x:f>
        <x:v>0.015</x:v>
      </x:c>
      <x:c r="D7" s="3"/>
      <x:c r="E7" s="3" t="str">
        <x:v>Purchase threshold</x:v>
      </x:c>
      <x:c r="F7" s="49" t="n">
        <x:f>'Rebate support'!C40/'Initial view'!$F$20</x:f>
        <x:v>12</x:v>
      </x:c>
      <x:c r="G7" s="3"/>
      <x:c r="H7" s="7" t="str">
        <x:v>DOC-03 threshold</x:v>
      </x:c>
      <x:c r="I7" s="3"/>
    </x:row>
    <x:row r="8" ht="21" customHeight="1">
      <x:c r="A8" s="3"/>
      <x:c r="B8" s="3" t="str">
        <x:v>Earned annual rebate</x:v>
      </x:c>
      <x:c r="C8" s="51" t="n">
        <x:f>F6*C7</x:f>
        <x:v>0.15</x:v>
      </x:c>
      <x:c r="D8" s="3"/>
      <x:c r="E8" s="3" t="str">
        <x:v>Rate below threshold</x:v>
      </x:c>
      <x:c r="F8" s="64" t="n">
        <x:f>'Rebate support'!C41</x:f>
        <x:v>0.015</x:v>
      </x:c>
      <x:c r="G8" s="3"/>
      <x:c r="H8" s="7" t="str">
        <x:v>DOC-03 program</x:v>
      </x:c>
      <x:c r="I8" s="3"/>
    </x:row>
    <x:row r="9" ht="21" customHeight="1">
      <x:c r="A9" s="3"/>
      <x:c r="B9" s="3" t="str">
        <x:v>Signed EBITDA correction</x:v>
      </x:c>
      <x:c r="C9" s="50" t="n">
        <x:f>C8-F10</x:f>
        <x:v>-0.30000000000000004</x:v>
      </x:c>
      <x:c r="D9" s="3"/>
      <x:c r="E9" s="3" t="str">
        <x:v>Rate at / above threshold</x:v>
      </x:c>
      <x:c r="F9" s="64" t="n">
        <x:f>'Rebate support'!C42</x:f>
        <x:v>0.0375</x:v>
      </x:c>
      <x:c r="G9" s="3"/>
      <x:c r="H9" s="7" t="str">
        <x:v>DOC-03 program</x:v>
      </x:c>
      <x:c r="I9" s="3"/>
    </x:row>
    <x:row r="10" ht="21" customHeight="1">
      <x:c r="A10" s="3"/>
      <x:c r="B10" s="3" t="str">
        <x:v>Corrected reported EBITDA</x:v>
      </x:c>
      <x:c r="C10" s="49" t="n">
        <x:f>'Initial view'!C7+C9</x:f>
        <x:v>3.3000000000000007</x:v>
      </x:c>
      <x:c r="D10" s="3"/>
      <x:c r="E10" s="3" t="str">
        <x:v>Booked FY2025 annual rebate</x:v>
      </x:c>
      <x:c r="F10" s="49" t="n">
        <x:f>'Rebate support'!D36/'Initial view'!$F$20</x:f>
        <x:v>0.45</x:v>
      </x:c>
      <x:c r="G10" s="3"/>
      <x:c r="H10" s="7" t="str">
        <x:v>DOC-05 journal</x:v>
      </x:c>
      <x:c r="I10" s="3"/>
    </x:row>
    <x:row r="11" ht="21" customHeight="1">
      <x:c r="A11" s="3"/>
      <x:c r="B11" s="3" t="str">
        <x:v>Accepted adjustments</x:v>
      </x:c>
      <x:c r="C11" s="49" t="n">
        <x:f>'Initial view'!C8</x:f>
        <x:v>0.3</x:v>
      </x:c>
      <x:c r="D11" s="3"/>
      <x:c r="E11" s="3" t="str">
        <x:v>Rebate cash received</x:v>
      </x:c>
      <x:c r="F11" s="49" t="n">
        <x:f>'Rebate support'!C45/'Initial view'!$F$20</x:f>
        <x:v>0</x:v>
      </x:c>
      <x:c r="G11" s="3"/>
      <x:c r="H11" s="7" t="str">
        <x:v>DOC-03 / DOC-06</x:v>
      </x:c>
      <x:c r="I11" s="3"/>
    </x:row>
    <x:row r="12" ht="21" customHeight="1">
      <x:c r="A12" s="3"/>
      <x:c r="B12" s="28" t="str">
        <x:v>Revised adjusted EBITDA</x:v>
      </x:c>
      <x:c r="C12" s="53" t="n">
        <x:f>SUM(C10:C11)</x:f>
        <x:v>3.6000000000000005</x:v>
      </x:c>
      <x:c r="D12" s="3"/>
      <x:c r="E12" s="3" t="str">
        <x:v>Signed LOI enterprise value</x:v>
      </x:c>
      <x:c r="F12" s="45" t="n">
        <x:v>23.4</x:v>
      </x:c>
      <x:c r="G12" s="3"/>
      <x:c r="H12" s="7" t="str">
        <x:v>March 20 scenario handoff</x:v>
      </x:c>
      <x:c r="I12" s="3"/>
    </x:row>
    <x:row r="13" ht="21" customHeight="1">
      <x:c r="A13" s="3"/>
      <x:c r="B13" s="3"/>
      <x:c r="C13" s="5"/>
      <x:c r="D13" s="3"/>
      <x:c r="E13" s="3"/>
      <x:c r="F13" s="6"/>
      <x:c r="G13" s="3"/>
      <x:c r="H13" s="7"/>
      <x:c r="I13" s="3"/>
    </x:row>
    <x:row r="14" ht="21" customHeight="1">
      <x:c r="A14" s="3"/>
      <x:c r="B14" s="55" t="str">
        <x:v>Entry multiple at signed LOI</x:v>
      </x:c>
      <x:c r="C14" s="56" t="n">
        <x:f>F12/C12</x:f>
        <x:v>6.499999999999998</x:v>
      </x:c>
      <x:c r="D14" s="3"/>
      <x:c r="E14" s="7" t="str">
        <x:v>Use the fixed signed LOI in this update.</x:v>
      </x:c>
      <x:c r="F14" s="38"/>
      <x:c r="G14" s="7"/>
      <x:c r="H14" s="7"/>
      <x:c r="I14" s="3"/>
    </x:row>
    <x:row r="15" ht="21" customHeight="1">
      <x:c r="A15" s="3"/>
      <x:c r="B15" s="3" t="str">
        <x:v>EV ceiling from entry multiple</x:v>
      </x:c>
      <x:c r="C15" s="49" t="n">
        <x:f>C12*'Initial view'!F14</x:f>
        <x:v>21.6</x:v>
      </x:c>
      <x:c r="D15" s="3"/>
      <x:c r="E15" s="7" t="str">
        <x:v>It does not depend on your opening bid.</x:v>
      </x:c>
      <x:c r="F15" s="38"/>
      <x:c r="G15" s="7"/>
      <x:c r="H15" s="7"/>
      <x:c r="I15" s="3"/>
    </x:row>
    <x:row r="16" ht="21" customHeight="1">
      <x:c r="A16" s="3"/>
      <x:c r="B16" s="3" t="str">
        <x:v>Revised debt drawn</x:v>
      </x:c>
      <x:c r="C16" s="49" t="n">
        <x:f>C12*'Initial view'!F15</x:f>
        <x:v>11.700000000000001</x:v>
      </x:c>
      <x:c r="D16" s="3"/>
      <x:c r="E16" s="3"/>
      <x:c r="F16" s="6"/>
      <x:c r="G16" s="3"/>
      <x:c r="H16" s="7"/>
      <x:c r="I16" s="3"/>
    </x:row>
    <x:row r="17" ht="21" customHeight="1">
      <x:c r="A17" s="3"/>
      <x:c r="B17" s="3" t="str">
        <x:v>Total uses at signed LOI</x:v>
      </x:c>
      <x:c r="C17" s="49" t="n">
        <x:f>SUM(F12,'Initial view'!F17:F18)</x:f>
        <x:v>24.4</x:v>
      </x:c>
      <x:c r="D17" s="3"/>
      <x:c r="E17" s="3"/>
      <x:c r="F17" s="6"/>
      <x:c r="G17" s="3"/>
      <x:c r="H17" s="7"/>
      <x:c r="I17" s="3"/>
    </x:row>
    <x:row r="18" ht="21" customHeight="1">
      <x:c r="A18" s="3"/>
      <x:c r="B18" s="28" t="str">
        <x:v>Sponsor equity at signed LOI</x:v>
      </x:c>
      <x:c r="C18" s="53" t="n">
        <x:f>C17-C16</x:f>
        <x:v>12.699999999999998</x:v>
      </x:c>
      <x:c r="D18" s="3"/>
      <x:c r="E18" s="3"/>
      <x:c r="F18" s="6"/>
      <x:c r="G18" s="3"/>
      <x:c r="H18" s="7"/>
      <x:c r="I18" s="3"/>
    </x:row>
    <x:row r="19" ht="21" customHeight="1">
      <x:c r="A19" s="3"/>
      <x:c r="B19" s="3" t="str">
        <x:v>Equity above cap at signed LOI</x:v>
      </x:c>
      <x:c r="C19" s="49" t="n">
        <x:f>MAX(0,C18-'Initial view'!F16)</x:f>
        <x:v>0.6999999999999975</x:v>
      </x:c>
      <x:c r="D19" s="3"/>
      <x:c r="E19" s="3"/>
      <x:c r="F19" s="6"/>
      <x:c r="G19" s="3"/>
      <x:c r="H19" s="7"/>
      <x:c r="I19" s="3"/>
    </x:row>
    <x:row r="20" ht="21" customHeight="1">
      <x:c r="A20" s="3"/>
      <x:c r="B20" s="3" t="str">
        <x:v>EV ceiling from equity cap</x:v>
      </x:c>
      <x:c r="C20" s="49" t="n">
        <x:f>'Initial view'!F16+C16-SUM('Initial view'!F17:F18)</x:f>
        <x:v>22.700000000000003</x:v>
      </x:c>
      <x:c r="D20" s="3"/>
      <x:c r="E20" s="25" t="str">
        <x:v>Reference reasoning</x:v>
      </x:c>
      <x:c r="F20" s="6"/>
      <x:c r="G20" s="3"/>
      <x:c r="H20" s="7"/>
      <x:c r="I20" s="3"/>
    </x:row>
    <x:row r="21" ht="21" customHeight="1">
      <x:c r="A21" s="3"/>
      <x:c r="B21" s="28" t="str">
        <x:v>Maximum EV under both limits</x:v>
      </x:c>
      <x:c r="C21" s="53" t="n">
        <x:f>MIN(C15,C20)</x:f>
        <x:v>21.6</x:v>
      </x:c>
      <x:c r="D21" s="3"/>
      <x:c r="E21" s="3" t="str">
        <x:v>The written program excludes group aggregation.</x:v>
      </x:c>
      <x:c r="F21" s="6"/>
      <x:c r="G21" s="3"/>
      <x:c r="H21" s="7"/>
      <x:c r="I21" s="3"/>
    </x:row>
    <x:row r="22" ht="21" customHeight="1">
      <x:c r="A22" s="3"/>
      <x:c r="B22" s="3" t="str">
        <x:v>Equity at maximum EV</x:v>
      </x:c>
      <x:c r="C22" s="49" t="n">
        <x:f>SUM(C21,'Initial view'!F17:F18)-C16</x:f>
        <x:v>10.9</x:v>
      </x:c>
      <x:c r="D22" s="3"/>
      <x:c r="E22" s="3" t="str">
        <x:v>Reconcile the two source populations and late memo.</x:v>
      </x:c>
      <x:c r="F22" s="6"/>
      <x:c r="G22" s="3"/>
      <x:c r="H22" s="7"/>
      <x:c r="I22" s="3"/>
    </x:row>
    <x:row r="23" ht="21" customHeight="1">
      <x:c r="A23" s="3"/>
      <x:c r="B23" s="3" t="str">
        <x:v>Reduction from signed LOI price</x:v>
      </x:c>
      <x:c r="C23" s="50" t="n">
        <x:f>F12-C21</x:f>
        <x:v>1.7999999999999972</x:v>
      </x:c>
      <x:c r="D23" s="3"/>
      <x:c r="E23" s="3" t="str">
        <x:v>Correct the annual incentive and receivable once.</x:v>
      </x:c>
      <x:c r="F23" s="6"/>
      <x:c r="G23" s="3"/>
      <x:c r="H23" s="7"/>
      <x:c r="I23" s="3"/>
    </x:row>
    <x:row r="24" ht="21" customHeight="1">
      <x:c r="A24" s="3"/>
      <x:c r="B24" s="3" t="str">
        <x:v>Signed rebate receivable correction</x:v>
      </x:c>
      <x:c r="C24" s="50" t="n">
        <x:f>C8-F10</x:f>
        <x:v>-0.30000000000000004</x:v>
      </x:c>
      <x:c r="D24" s="3"/>
      <x:c r="E24" s="3" t="str">
        <x:v>Re-trading to the ceiling requires seller agreement.</x:v>
      </x:c>
      <x:c r="F24" s="6"/>
      <x:c r="G24" s="3"/>
      <x:c r="H24" s="7"/>
      <x:c r="I24" s="3"/>
    </x:row>
    <x:row r="25" ht="21" customHeight="1">
      <x:c r="A25" s="3"/>
      <x:c r="B25" s="3"/>
      <x:c r="C25" s="5"/>
      <x:c r="D25" s="3"/>
      <x:c r="E25" s="3"/>
      <x:c r="F25" s="6"/>
      <x:c r="G25" s="3"/>
      <x:c r="H25" s="7"/>
      <x:c r="I25" s="3"/>
    </x:row>
    <x:row r="26" ht="21" customHeight="1">
      <x:c r="A26" s="3"/>
      <x:c r="B26" s="3"/>
      <x:c r="C26" s="5"/>
      <x:c r="D26" s="3"/>
      <x:c r="E26" s="3"/>
      <x:c r="F26" s="6"/>
      <x:c r="G26" s="3"/>
      <x:c r="H26" s="7"/>
      <x:c r="I26" s="3"/>
    </x:row>
    <x:row r="27" ht="24" customHeight="1">
      <x:c r="A27" s="3"/>
      <x:c r="B27" s="19" t="str">
        <x:v>Revised recommendation</x:v>
      </x:c>
      <x:c r="C27" s="20"/>
      <x:c r="D27" s="3"/>
      <x:c r="E27" s="3"/>
      <x:c r="F27" s="6"/>
      <x:c r="G27" s="3"/>
      <x:c r="H27" s="7"/>
      <x:c r="I27" s="3"/>
    </x:row>
    <x:row r="28" ht="21" customHeight="1">
      <x:c r="A28" s="3"/>
      <x:c r="B28" s="3" t="str">
        <x:v>Decision</x:v>
      </x:c>
      <x:c r="C28" s="60" t="str">
        <x:v>Reprice</x:v>
      </x:c>
      <x:c r="D28" s="3"/>
      <x:c r="E28" s="3"/>
      <x:c r="F28" s="6"/>
      <x:c r="G28" s="3"/>
      <x:c r="H28" s="7"/>
      <x:c r="I28" s="3"/>
    </x:row>
    <x:row r="29" ht="21" customHeight="1">
      <x:c r="A29" s="3"/>
      <x:c r="B29" s="3" t="str">
        <x:v>Proposed enterprise value</x:v>
      </x:c>
      <x:c r="C29" s="58" t="n">
        <x:f>C21</x:f>
        <x:v>21.6</x:v>
      </x:c>
      <x:c r="D29" s="3"/>
      <x:c r="E29" s="3"/>
      <x:c r="F29" s="6"/>
      <x:c r="G29" s="3"/>
      <x:c r="H29" s="7"/>
      <x:c r="I29" s="3"/>
    </x:row>
    <x:row r="30" ht="21" customHeight="1">
      <x:c r="A30" s="3"/>
      <x:c r="B30" s="3"/>
      <x:c r="C30" s="5"/>
      <x:c r="D30" s="3"/>
      <x:c r="E30" s="3"/>
      <x:c r="F30" s="6"/>
      <x:c r="G30" s="3"/>
      <x:c r="H30" s="7"/>
      <x:c r="I30" s="3"/>
    </x:row>
    <x:row r="31" ht="21" customHeight="1">
      <x:c r="A31" s="3"/>
      <x:c r="B31" s="3"/>
      <x:c r="C31" s="5"/>
      <x:c r="D31" s="3"/>
      <x:c r="E31" s="3"/>
      <x:c r="F31" s="6"/>
      <x:c r="G31" s="3"/>
      <x:c r="H31" s="7"/>
      <x:c r="I31" s="3"/>
    </x:row>
    <x:row r="32" ht="24" customHeight="1">
      <x:c r="A32" s="3"/>
      <x:c r="B32" s="19" t="str">
        <x:v>Checks</x:v>
      </x:c>
      <x:c r="C32" s="20"/>
      <x:c r="D32" s="3"/>
      <x:c r="E32" s="3"/>
      <x:c r="F32" s="6"/>
      <x:c r="G32" s="3"/>
      <x:c r="H32" s="7"/>
      <x:c r="I32" s="3"/>
    </x:row>
    <x:row r="33" ht="21" customHeight="1">
      <x:c r="A33" s="3"/>
      <x:c r="B33" s="3" t="str">
        <x:v>Sources less uses at maximum EV</x:v>
      </x:c>
      <x:c r="C33" s="35" t="n">
        <x:f>SUM(C16,C22)-SUM(C21,'Initial view'!F17:F18)</x:f>
        <x:v>0</x:v>
      </x:c>
      <x:c r="D33" s="3"/>
      <x:c r="E33" s="3"/>
      <x:c r="F33" s="6"/>
      <x:c r="G33" s="3"/>
      <x:c r="H33" s="7"/>
      <x:c r="I33" s="3"/>
    </x:row>
    <x:row r="34" ht="21" customHeight="1">
      <x:c r="A34" s="3"/>
      <x:c r="B34" s="3" t="str">
        <x:v>Equity headroom at maximum EV</x:v>
      </x:c>
      <x:c r="C34" s="5" t="n">
        <x:f>'Initial view'!F16-C22</x:f>
        <x:v>1.0999999999999996</x:v>
      </x:c>
      <x:c r="D34" s="3"/>
      <x:c r="E34" s="3"/>
      <x:c r="F34" s="6"/>
      <x:c r="G34" s="3"/>
      <x:c r="H34" s="7"/>
      <x:c r="I34" s="3"/>
    </x:row>
    <x:row r="35" ht="21" customHeight="1">
      <x:c r="A35" s="3"/>
      <x:c r="B35" s="3" t="str">
        <x:v>Mandate at signed LOI</x:v>
      </x:c>
      <x:c r="C35" s="42" t="str">
        <x:f>IF(AND(F12&lt;=C21,C18&lt;='Initial view'!F16),"Within limits","Outside limits")</x:f>
        <x:v>Outside limits</x:v>
      </x:c>
      <x:c r="D35" s="3"/>
      <x:c r="E35" s="3"/>
      <x:c r="F35" s="6"/>
      <x:c r="G35" s="3"/>
      <x:c r="H35" s="7"/>
      <x:c r="I35" s="3"/>
    </x:row>
    <x:row r="36" ht="21" customHeight="1">
      <x:c r="A36" s="3"/>
      <x:c r="B36" s="3"/>
      <x:c r="C36" s="5"/>
      <x:c r="D36" s="3"/>
      <x:c r="E36" s="3"/>
      <x:c r="F36" s="6"/>
      <x:c r="G36" s="3"/>
      <x:c r="H36" s="7"/>
      <x:c r="I36" s="3"/>
    </x:row>
    <x:row r="37" ht="24" customHeight="1">
      <x:c r="A37" s="3"/>
      <x:c r="B37" s="19" t="str">
        <x:v>Evidence and decision limits</x:v>
      </x:c>
      <x:c r="C37" s="20"/>
      <x:c r="D37" s="3"/>
      <x:c r="E37" s="3"/>
      <x:c r="F37" s="6"/>
      <x:c r="G37" s="3"/>
      <x:c r="H37" s="7"/>
      <x:c r="I37" s="3"/>
    </x:row>
    <x:row r="38" ht="21" customHeight="1">
      <x:c r="A38" s="3"/>
      <x:c r="B38" s="7" t="str">
        <x:v>Apply the mandate to the signed LOI. A lower proposed price still requires commercial agreement.</x:v>
      </x:c>
      <x:c r="C38" s="38"/>
      <x:c r="D38" s="7"/>
      <x:c r="E38" s="7"/>
      <x:c r="F38" s="38"/>
      <x:c r="G38" s="7"/>
      <x:c r="H38" s="7"/>
      <x:c r="I38" s="3"/>
    </x:row>
    <x:row r="39" ht="21" customHeight="1">
      <x:c r="A39" s="3"/>
      <x:c r="B39" s="7" t="str">
        <x:v>Separate observed evidence, management positions and unanswered questions in your investment update.</x:v>
      </x:c>
      <x:c r="C39" s="38"/>
      <x:c r="D39" s="7"/>
      <x:c r="E39" s="7"/>
      <x:c r="F39" s="38"/>
      <x:c r="G39" s="7"/>
      <x:c r="H39" s="7"/>
      <x:c r="I39" s="3"/>
    </x:row>
    <x:row r="40" ht="21" customHeight="1">
      <x:c r="A40" s="3"/>
      <x:c r="B40" s="7" t="str">
        <x:v>A historical balance-sheet correction does not establish a contractual closing true-up.</x:v>
      </x:c>
      <x:c r="C40" s="38"/>
      <x:c r="D40" s="7"/>
      <x:c r="E40" s="7"/>
      <x:c r="F40" s="38"/>
      <x:c r="G40" s="7"/>
      <x:c r="H40" s="7"/>
      <x:c r="I40" s="3"/>
    </x:row>
    <x:row r="41" ht="21" customHeight="1">
      <x:c r="A41" s="3"/>
      <x:c r="B41" s="3"/>
      <x:c r="C41" s="5"/>
      <x:c r="D41" s="3"/>
      <x:c r="E41" s="3"/>
      <x:c r="F41" s="6"/>
      <x:c r="G41" s="3"/>
      <x:c r="H41" s="7"/>
      <x:c r="I41" s="3"/>
    </x:row>
    <x:row r="42" ht="21" customHeight="1">
      <x:c r="A42" s="3"/>
      <x:c r="B42" s="7" t="str">
        <x:v>Record money to three decimals in $m. Numerical tolerance: $0.0005m; multiple tolerance: 0.005x.</x:v>
      </x:c>
      <x:c r="C42" s="38"/>
      <x:c r="D42" s="7"/>
      <x:c r="E42" s="7"/>
      <x:c r="F42" s="38"/>
      <x:c r="G42" s="7"/>
      <x:c r="H42" s="7"/>
      <x:c r="I42" s="3"/>
    </x:row>
    <x:row r="43" ht="21" customHeight="1">
      <x:c r="A43" s="3"/>
      <x:c r="B43" s="7" t="str">
        <x:v>Use the solution only after completing this analysis. Free-text judgment is self-reviewed.</x:v>
      </x:c>
      <x:c r="C43" s="38"/>
      <x:c r="D43" s="7"/>
      <x:c r="E43" s="7"/>
      <x:c r="F43" s="38"/>
      <x:c r="G43" s="7"/>
      <x:c r="H43" s="7"/>
      <x:c r="I43" s="3"/>
    </x:row>
    <x:row r="44" ht="21" customHeight="1">
      <x:c r="A44" s="3"/>
      <x:c r="B44" s="3"/>
      <x:c r="C44" s="5"/>
      <x:c r="D44" s="3"/>
      <x:c r="E44" s="3"/>
      <x:c r="F44" s="6"/>
      <x:c r="G44" s="3"/>
      <x:c r="H44" s="7"/>
      <x:c r="I44" s="3"/>
    </x:row>
    <x:row r="45" ht="21" customHeight="1">
      <x:c r="A45" s="3"/>
      <x:c r="B45" s="3"/>
      <x:c r="C45" s="5"/>
      <x:c r="D45" s="3"/>
      <x:c r="E45" s="3"/>
      <x:c r="F45" s="6"/>
      <x:c r="G45" s="3"/>
      <x:c r="H45" s="7"/>
      <x:c r="I45" s="3"/>
    </x:row>
  </x:sheetData>
  <x:dataValidations count="1">
    <x:dataValidation type="list" sqref="C28">
      <x:formula1>"Proceed,Reprice,Pause,Pass"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F4D3A"/>
  </x:sheetPr>
  <x:sheetViews>
    <x:sheetView showGridLines="0" workbookViewId="0"/>
  </x:sheetViews>
  <x:sheetFormatPr defaultRowHeight="15"/>
  <x:cols>
    <x:col min="1" max="1" width="3" hidden="0" customWidth="1"/>
    <x:col min="2" max="2" width="29" hidden="0" customWidth="1"/>
    <x:col min="3" max="3" width="95" hidden="0" customWidth="1"/>
    <x:col min="4" max="4" width="18" hidden="0" customWidth="1"/>
    <x:col min="5" max="5" width="30" hidden="0" customWidth="1"/>
    <x:col min="6" max="6" width="3" hidden="0" customWidth="1"/>
    <x:col min="7" max="7" width="3" hidden="0" customWidth="1"/>
    <x:col min="8" max="8" width="3" hidden="0" customWidth="1"/>
    <x:col min="9" max="9" width="3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28" customHeight="1">
      <x:c r="A2" s="3"/>
      <x:c r="B2" s="8" t="str">
        <x:v>Calder: investment update</x:v>
      </x:c>
      <x:c r="C2" s="8"/>
      <x:c r="D2" s="8"/>
      <x:c r="E2" s="8"/>
      <x:c r="F2" s="8"/>
      <x:c r="G2" s="8"/>
      <x:c r="H2" s="8"/>
      <x:c r="I2" s="3"/>
    </x:row>
    <x:row r="3" ht="21" customHeight="1">
      <x:c r="A3" s="3"/>
      <x:c r="B3" s="11" t="str">
        <x:v>Reference update. April 13, 2026. USD millions.</x:v>
      </x:c>
      <x:c r="C3" s="11"/>
      <x:c r="D3" s="11"/>
      <x:c r="E3" s="11"/>
      <x:c r="F3" s="11"/>
      <x:c r="G3" s="11"/>
      <x:c r="H3" s="11"/>
      <x:c r="I3" s="3"/>
    </x:row>
    <x:row r="4" ht="21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25" customHeight="1">
      <x:c r="A5" s="3"/>
      <x:c r="B5" s="19" t="str">
        <x:v>Five-line investment update</x:v>
      </x:c>
      <x:c r="C5" s="70"/>
      <x:c r="D5" s="3"/>
      <x:c r="E5" s="3"/>
      <x:c r="F5" s="3"/>
      <x:c r="G5" s="3"/>
      <x:c r="H5" s="3"/>
      <x:c r="I5" s="3"/>
    </x:row>
    <x:row r="6" ht="62" customHeight="1">
      <x:c r="A6" s="3"/>
      <x:c r="B6" s="3" t="str">
        <x:v>Recommendation</x:v>
      </x:c>
      <x:c r="C6" s="71" t="str">
        <x:v>Re-trade the signed $23.400m LOI to no more than $21.600m and continue only with conditions.</x:v>
      </x:c>
      <x:c r="D6" s="3"/>
      <x:c r="E6" s="3"/>
      <x:c r="F6" s="6"/>
      <x:c r="G6" s="3"/>
      <x:c r="H6" s="7"/>
      <x:c r="I6" s="3"/>
    </x:row>
    <x:row r="7" ht="62" customHeight="1">
      <x:c r="A7" s="3"/>
      <x:c r="B7" s="3" t="str">
        <x:v>Evidence and source clause</x:v>
      </x:c>
      <x:c r="C7" s="71" t="str">
        <x:v>DOC-03 limits the program to CIS-44082 and assigns returns to the year of supplier acceptance. Reconcile DOC-05 to exclude the CFS account, freight and late-posted December returns. Earned rebate is $0.150m; management booked $0.450m.</x:v>
      </x:c>
      <x:c r="D7" s="3"/>
      <x:c r="E7" s="3"/>
      <x:c r="F7" s="6"/>
      <x:c r="G7" s="3"/>
      <x:c r="H7" s="7"/>
      <x:c r="I7" s="3"/>
    </x:row>
    <x:row r="8" ht="62" customHeight="1">
      <x:c r="A8" s="3"/>
      <x:c r="B8" s="3" t="str">
        <x:v>Price and financing</x:v>
      </x:c>
      <x:c r="C8" s="71" t="str">
        <x:v>At the $23.400m LOI, entry is 6.50x and equity is $12.700m. At $21.600m, assumed debt is $11.700m and equity is $10.900m. The opening $25.000m ask is a different reference price.</x:v>
      </x:c>
      <x:c r="D8" s="3"/>
      <x:c r="E8" s="3"/>
      <x:c r="F8" s="6"/>
      <x:c r="G8" s="3"/>
      <x:c r="H8" s="7"/>
      <x:c r="I8" s="3"/>
    </x:row>
    <x:row r="9" ht="62" customHeight="1">
      <x:c r="A9" s="3"/>
      <x:c r="B9" s="3" t="str">
        <x:v>Conditions to advance</x:v>
      </x:c>
      <x:c r="C9" s="71" t="str">
        <x:v>Obtain seller agreement on revised earnings and price, and confirm lender underwriting. An owner-operator should also test transition and operating-role costs (Q-12); those unquantified costs are separate from the accepted personal-expense addback.</x:v>
      </x:c>
      <x:c r="D9" s="3"/>
      <x:c r="E9" s="3"/>
      <x:c r="F9" s="6"/>
      <x:c r="G9" s="3"/>
      <x:c r="H9" s="7"/>
      <x:c r="I9" s="3"/>
    </x:row>
    <x:row r="10" ht="62" customHeight="1">
      <x:c r="A10" s="3"/>
      <x:c r="B10" s="63" t="str">
        <x:v>Top 2-3 requests and consequences</x:v>
      </x:c>
      <x:c r="C10" s="71" t="str">
        <x:v>1. Q-08: other unsupported rebates could lower earnings and the bid. 2. Q-05: product/SKU margins must support the remaining improvement before relying on it. 3. Q-09: capex, cash conversion and NWC terms could change funding and the price mechanism.</x:v>
      </x:c>
      <x:c r="D10" s="3"/>
      <x:c r="E10" s="3"/>
      <x:c r="F10" s="6"/>
      <x:c r="G10" s="3"/>
      <x:c r="H10" s="7"/>
      <x:c r="I10" s="3"/>
    </x:row>
    <x:row r="11" ht="21" customHeight="1">
      <x:c r="A11" s="3"/>
      <x:c r="B11" s="3"/>
      <x:c r="C11" s="68"/>
      <x:c r="D11" s="3"/>
      <x:c r="E11" s="3"/>
      <x:c r="F11" s="6"/>
      <x:c r="G11" s="3"/>
      <x:c r="H11" s="7"/>
      <x:c r="I11" s="3"/>
    </x:row>
    <x:row r="12" ht="21" customHeight="1">
      <x:c r="A12" s="3"/>
      <x:c r="B12" s="3" t="str">
        <x:v>Proposed EV ($m)</x:v>
      </x:c>
      <x:c r="C12" s="73" t="n">
        <x:f>'Diligence update'!C29</x:f>
        <x:v>21.6</x:v>
      </x:c>
      <x:c r="D12" s="3"/>
      <x:c r="E12" s="3"/>
      <x:c r="F12" s="6"/>
      <x:c r="G12" s="3"/>
      <x:c r="H12" s="7"/>
      <x:c r="I12" s="3"/>
    </x:row>
    <x:row r="13" ht="21" customHeight="1">
      <x:c r="A13" s="3"/>
      <x:c r="B13" s="3"/>
      <x:c r="C13" s="68"/>
      <x:c r="D13" s="3"/>
      <x:c r="E13" s="3"/>
      <x:c r="F13" s="6"/>
      <x:c r="G13" s="3"/>
      <x:c r="H13" s="7"/>
      <x:c r="I13" s="3"/>
    </x:row>
    <x:row r="14" ht="21" customHeight="1">
      <x:c r="A14" s="3"/>
      <x:c r="B14" s="3"/>
      <x:c r="C14" s="74" t="str">
        <x:v>Cite a specific source clause; rank 2-3 open request IDs and explain what would change your decision.</x:v>
      </x:c>
      <x:c r="D14" s="3"/>
      <x:c r="E14" s="3"/>
      <x:c r="F14" s="6"/>
      <x:c r="G14" s="3"/>
      <x:c r="H14" s="7"/>
      <x:c r="I14" s="3"/>
    </x:row>
    <x:row r="15" ht="21" customHeight="1">
      <x:c r="A15" s="3"/>
      <x:c r="B15" s="3"/>
      <x:c r="C15" s="68"/>
      <x:c r="D15" s="3"/>
      <x:c r="E15" s="3"/>
      <x:c r="F15" s="6"/>
      <x:c r="G15" s="3"/>
      <x:c r="H15" s="7"/>
      <x:c r="I15" s="3"/>
    </x:row>
    <x:row r="16" ht="25" customHeight="1">
      <x:c r="A16" s="3"/>
      <x:c r="B16" s="19" t="str">
        <x:v>Adjustment disposition</x:v>
      </x:c>
      <x:c r="C16" s="76"/>
      <x:c r="D16" s="19"/>
      <x:c r="E16" s="19"/>
      <x:c r="F16" s="6"/>
      <x:c r="G16" s="3"/>
      <x:c r="H16" s="7"/>
      <x:c r="I16" s="3"/>
    </x:row>
    <x:row r="17" ht="21" customHeight="1">
      <x:c r="A17" s="3"/>
      <x:c r="B17" s="3"/>
      <x:c r="C17" s="68"/>
      <x:c r="D17" s="3"/>
      <x:c r="E17" s="3"/>
      <x:c r="F17" s="6"/>
      <x:c r="G17" s="3"/>
      <x:c r="H17" s="7"/>
      <x:c r="I17" s="3"/>
    </x:row>
    <x:row r="18" ht="21" customHeight="1">
      <x:c r="A18" s="3"/>
      <x:c r="B18" s="25" t="str">
        <x:v>Adjustment ID</x:v>
      </x:c>
      <x:c r="C18" s="77" t="str">
        <x:v>Treatment</x:v>
      </x:c>
      <x:c r="D18" s="25" t="str">
        <x:v>EBITDA ($m)</x:v>
      </x:c>
      <x:c r="E18" s="25" t="str">
        <x:v>Evidence</x:v>
      </x:c>
      <x:c r="F18" s="6"/>
      <x:c r="G18" s="3"/>
      <x:c r="H18" s="7"/>
      <x:c r="I18" s="3"/>
    </x:row>
    <x:row r="19" ht="30" customHeight="1">
      <x:c r="A19" s="3"/>
      <x:c r="B19" s="3" t="str">
        <x:v>QOE-01</x:v>
      </x:c>
      <x:c r="C19" s="68" t="str">
        <x:v>Retain accepted ERP cutover adjustment.</x:v>
      </x:c>
      <x:c r="D19" s="5" t="n">
        <x:f>'Initial view'!F10</x:f>
        <x:v>0.18</x:v>
      </x:c>
      <x:c r="E19" s="79" t="str">
        <x:v>DOC-04 / DOC-02</x:v>
      </x:c>
      <x:c r="F19" s="6"/>
      <x:c r="G19" s="3"/>
      <x:c r="H19" s="7"/>
      <x:c r="I19" s="3"/>
    </x:row>
    <x:row r="20" ht="30" customHeight="1">
      <x:c r="A20" s="3"/>
      <x:c r="B20" s="3" t="str">
        <x:v>QOE-02</x:v>
      </x:c>
      <x:c r="C20" s="68" t="str">
        <x:v>Retain accepted owner personal expense adjustment.</x:v>
      </x:c>
      <x:c r="D20" s="5" t="n">
        <x:f>'Initial view'!F11</x:f>
        <x:v>0.12</x:v>
      </x:c>
      <x:c r="E20" s="79" t="str">
        <x:v>DOC-04 / DOC-02</x:v>
      </x:c>
      <x:c r="F20" s="6"/>
      <x:c r="G20" s="3"/>
      <x:c r="H20" s="7"/>
      <x:c r="I20" s="3"/>
    </x:row>
    <x:row r="21" ht="30" customHeight="1">
      <x:c r="A21" s="3"/>
      <x:c r="B21" s="3" t="str">
        <x:v>QOE-03</x:v>
      </x:c>
      <x:c r="C21" s="68" t="str">
        <x:v>Correct unsupported annual rebate through historical COGS once.</x:v>
      </x:c>
      <x:c r="D21" s="5" t="n">
        <x:f>'Diligence update'!C9</x:f>
        <x:v>-0.30000000000000004</x:v>
      </x:c>
      <x:c r="E21" s="79" t="str">
        <x:v>DOC-03 / DOC-05 / DOC-06</x:v>
      </x:c>
      <x:c r="F21" s="6"/>
      <x:c r="G21" s="3"/>
      <x:c r="H21" s="7"/>
      <x:c r="I21" s="3"/>
    </x:row>
    <x:row r="22" ht="21" customHeight="1">
      <x:c r="A22" s="3"/>
      <x:c r="B22" s="3"/>
      <x:c r="C22" s="68"/>
      <x:c r="D22" s="5"/>
      <x:c r="E22" s="3"/>
      <x:c r="F22" s="6"/>
      <x:c r="G22" s="3"/>
      <x:c r="H22" s="7"/>
      <x:c r="I22" s="3"/>
    </x:row>
    <x:row r="23" ht="21" customHeight="1">
      <x:c r="A23" s="3"/>
      <x:c r="B23" s="3"/>
      <x:c r="C23" s="68"/>
      <x:c r="D23" s="5"/>
      <x:c r="E23" s="3"/>
      <x:c r="F23" s="6"/>
      <x:c r="G23" s="3"/>
      <x:c r="H23" s="7"/>
      <x:c r="I23" s="3"/>
    </x:row>
    <x:row r="24" ht="21" customHeight="1">
      <x:c r="A24" s="3"/>
      <x:c r="B24" s="3"/>
      <x:c r="C24" s="68" t="str">
        <x:v>Seller reported EBITDA</x:v>
      </x:c>
      <x:c r="D24" s="5" t="n">
        <x:f>'Initial view'!C7</x:f>
        <x:v>3.6000000000000005</x:v>
      </x:c>
      <x:c r="E24" s="3"/>
      <x:c r="F24" s="6"/>
      <x:c r="G24" s="3"/>
      <x:c r="H24" s="7"/>
      <x:c r="I24" s="3"/>
    </x:row>
    <x:row r="25" ht="21" customHeight="1">
      <x:c r="A25" s="3"/>
      <x:c r="B25" s="3"/>
      <x:c r="C25" s="68" t="str">
        <x:v>Accounting correction</x:v>
      </x:c>
      <x:c r="D25" s="5" t="n">
        <x:f>D21</x:f>
        <x:v>-0.30000000000000004</x:v>
      </x:c>
      <x:c r="E25" s="3"/>
      <x:c r="F25" s="6"/>
      <x:c r="G25" s="3"/>
      <x:c r="H25" s="7"/>
      <x:c r="I25" s="3"/>
    </x:row>
    <x:row r="26" ht="21" customHeight="1">
      <x:c r="A26" s="3"/>
      <x:c r="B26" s="3"/>
      <x:c r="C26" s="81" t="str">
        <x:v>Corrected reported EBITDA</x:v>
      </x:c>
      <x:c r="D26" s="82" t="n">
        <x:f>SUM(D24:D25)</x:f>
        <x:v>3.3000000000000007</x:v>
      </x:c>
      <x:c r="E26" s="3"/>
      <x:c r="F26" s="6"/>
      <x:c r="G26" s="3"/>
      <x:c r="H26" s="7"/>
      <x:c r="I26" s="3"/>
    </x:row>
    <x:row r="27" ht="21" customHeight="1">
      <x:c r="A27" s="3"/>
      <x:c r="B27" s="3"/>
      <x:c r="C27" s="68" t="str">
        <x:v>Accepted adjustments</x:v>
      </x:c>
      <x:c r="D27" s="5" t="n">
        <x:f>SUM(D19:D20)</x:f>
        <x:v>0.3</x:v>
      </x:c>
      <x:c r="E27" s="3"/>
      <x:c r="F27" s="6"/>
      <x:c r="G27" s="3"/>
      <x:c r="H27" s="7"/>
      <x:c r="I27" s="3"/>
    </x:row>
    <x:row r="28" ht="21" customHeight="1">
      <x:c r="A28" s="3"/>
      <x:c r="B28" s="3"/>
      <x:c r="C28" s="81" t="str">
        <x:v>Revised adjusted EBITDA</x:v>
      </x:c>
      <x:c r="D28" s="82" t="n">
        <x:f>SUM(D26:D27)</x:f>
        <x:v>3.6000000000000005</x:v>
      </x:c>
      <x:c r="E28" s="3"/>
      <x:c r="F28" s="6"/>
      <x:c r="G28" s="3"/>
      <x:c r="H28" s="7"/>
      <x:c r="I28" s="3"/>
    </x:row>
    <x:row r="29" ht="21" customHeight="1">
      <x:c r="A29" s="3"/>
      <x:c r="B29" s="3"/>
      <x:c r="C29" s="68"/>
      <x:c r="D29" s="3"/>
      <x:c r="E29" s="3"/>
      <x:c r="F29" s="6"/>
      <x:c r="G29" s="3"/>
      <x:c r="H29" s="7"/>
      <x:c r="I29" s="3"/>
    </x:row>
    <x:row r="30" ht="21" customHeight="1">
      <x:c r="A30" s="3"/>
      <x:c r="B30" s="3"/>
      <x:c r="C30" s="74" t="str">
        <x:v>State a decision and its evidence. Meeting a numerical cap does not establish fair value or complete diligence.</x:v>
      </x:c>
      <x:c r="D30" s="3"/>
      <x:c r="E30" s="3"/>
      <x:c r="F30" s="6"/>
      <x:c r="G30" s="3"/>
      <x:c r="H30" s="7"/>
      <x:c r="I30" s="3"/>
    </x:row>
    <x:row r="31" ht="21" customHeight="1">
      <x:c r="A31" s="3"/>
      <x:c r="B31" s="3"/>
      <x:c r="C31" s="68"/>
      <x:c r="D31" s="3"/>
      <x:c r="E31" s="3"/>
      <x:c r="F31" s="6"/>
      <x:c r="G31" s="3"/>
      <x:c r="H31" s="7"/>
      <x:c r="I31" s="3"/>
    </x:row>
    <x:row r="32" ht="25" customHeight="1">
      <x:c r="A32" s="3"/>
      <x:c r="B32" s="19" t="str">
        <x:v>Self-review / no personal grading</x:v>
      </x:c>
      <x:c r="C32" s="76"/>
      <x:c r="D32" s="19"/>
      <x:c r="E32" s="19"/>
      <x:c r="F32" s="6"/>
      <x:c r="G32" s="3"/>
      <x:c r="H32" s="7"/>
      <x:c r="I32" s="3"/>
    </x:row>
    <x:row r="33" ht="21" customHeight="1">
      <x:c r="A33" s="3"/>
      <x:c r="B33" s="3"/>
      <x:c r="C33" s="74" t="str">
        <x:v>Trace the exact source clause, population, units and cutoff; separate assertions from evidence.</x:v>
      </x:c>
      <x:c r="D33" s="3"/>
      <x:c r="E33" s="3"/>
      <x:c r="F33" s="6"/>
      <x:c r="G33" s="3"/>
      <x:c r="H33" s="7"/>
      <x:c r="I33" s="3"/>
    </x:row>
    <x:row r="34" ht="21" customHeight="1">
      <x:c r="A34" s="3"/>
      <x:c r="B34" s="3"/>
      <x:c r="C34" s="74" t="str">
        <x:v>Correct earnings once, resize debt, and test both the multiple and equity limits.</x:v>
      </x:c>
      <x:c r="D34" s="3"/>
      <x:c r="E34" s="3"/>
      <x:c r="F34" s="6"/>
      <x:c r="G34" s="3"/>
      <x:c r="H34" s="7"/>
      <x:c r="I34" s="3"/>
    </x:row>
    <x:row r="35" ht="21" customHeight="1">
      <x:c r="A35" s="3"/>
      <x:c r="B35" s="3"/>
      <x:c r="C35" s="74" t="str">
        <x:v>Give 2-3 prioritized Q IDs with decision consequences; explain the condition to advance.</x:v>
      </x:c>
      <x:c r="D35" s="3"/>
      <x:c r="E35" s="3"/>
      <x:c r="F35" s="6"/>
      <x:c r="G35" s="3"/>
      <x:c r="H35" s="7"/>
      <x:c r="I35" s="3"/>
    </x:row>
    <x:row r="36" ht="21" customHeight="1">
      <x:c r="A36" s="3"/>
      <x:c r="B36" s="3"/>
      <x:c r="C36" s="74" t="str">
        <x:v>For owner-operation, name a transition or role-cost condition and the evidence needed.</x:v>
      </x:c>
      <x:c r="D36" s="3"/>
      <x:c r="E36" s="3"/>
      <x:c r="F36" s="6"/>
      <x:c r="G36" s="3"/>
      <x:c r="H36" s="7"/>
      <x:c r="I36" s="3"/>
    </x:row>
    <x:row r="37" ht="21" customHeight="1">
      <x:c r="A37" s="3"/>
      <x:c r="B37" s="3"/>
      <x:c r="C37" s="74" t="str">
        <x:v>Quarterly rebate allocation is illustrative; quarterly inventory/COGS matching is unverified.</x:v>
      </x:c>
      <x:c r="D37" s="3"/>
      <x:c r="E37" s="3"/>
      <x:c r="F37" s="6"/>
      <x:c r="G37" s="3"/>
      <x:c r="H37" s="7"/>
      <x:c r="I37" s="3"/>
    </x:row>
    <x:row r="38" ht="21" customHeight="1">
      <x:c r="A38" s="3"/>
      <x:c r="B38" s="3"/>
      <x:c r="C38" s="68"/>
      <x:c r="D38" s="3"/>
      <x:c r="E38" s="3"/>
      <x:c r="F38" s="6"/>
      <x:c r="G38" s="3"/>
      <x:c r="H38" s="7"/>
      <x:c r="I38" s="3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D9CEB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39" hidden="0" customWidth="1"/>
    <x:col min="3" max="3" width="15" hidden="0" customWidth="1"/>
    <x:col min="4" max="4" width="15" hidden="0" customWidth="1"/>
    <x:col min="5" max="5" width="3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28" customHeight="1">
      <x:c r="A2" s="3"/>
      <x:c r="B2" s="8" t="str">
        <x:v>Calder: management accounts</x:v>
      </x:c>
      <x:c r="C2" s="8"/>
      <x:c r="D2" s="8"/>
      <x:c r="E2" s="8"/>
      <x:c r="F2" s="8"/>
      <x:c r="G2" s="8"/>
      <x:c r="H2" s="8"/>
      <x:c r="I2" s="3"/>
    </x:row>
    <x:row r="3" ht="21" customHeight="1">
      <x:c r="A3" s="3"/>
      <x:c r="B3" s="11" t="str">
        <x:v>DOC-04. FY2024 annual and FY2025 quarterly source data in USD thousands.</x:v>
      </x:c>
      <x:c r="C3" s="11"/>
      <x:c r="D3" s="11"/>
      <x:c r="E3" s="11"/>
      <x:c r="F3" s="11"/>
      <x:c r="G3" s="11"/>
      <x:c r="H3" s="11"/>
      <x:c r="I3" s="3"/>
    </x:row>
    <x:row r="4" ht="21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21" customHeight="1">
      <x:c r="A5" s="3"/>
      <x:c r="B5" s="3" t="str">
        <x:v>DOC-04. Management accounts. USD thousands. Opening release.</x:v>
      </x:c>
      <x:c r="C5" s="3"/>
      <x:c r="D5" s="3"/>
      <x:c r="E5" s="3"/>
      <x:c r="F5" s="3"/>
      <x:c r="G5" s="3"/>
      <x:c r="H5" s="3"/>
      <x:c r="I5" s="3"/>
    </x:row>
    <x:row r="6" ht="25" customHeight="1">
      <x:c r="A6" s="3"/>
      <x:c r="B6" s="21" t="str">
        <x:v>Account</x:v>
      </x:c>
      <x:c r="C6" s="22" t="str">
        <x:v>FY2024A</x:v>
      </x:c>
      <x:c r="D6" s="21" t="str">
        <x:v>FY2025A rollup</x:v>
      </x:c>
      <x:c r="E6" s="3"/>
      <x:c r="F6" s="22" t="str">
        <x:v>Q1 2025</x:v>
      </x:c>
      <x:c r="G6" s="21" t="str">
        <x:v>Q2 2025</x:v>
      </x:c>
      <x:c r="H6" s="21" t="str">
        <x:v>Q3 2025</x:v>
      </x:c>
      <x:c r="I6" s="21" t="str">
        <x:v>Q4 2025</x:v>
      </x:c>
    </x:row>
    <x:row r="7" ht="21" customHeight="1">
      <x:c r="A7" s="3"/>
      <x:c r="B7" s="25" t="str">
        <x:v>Revenue</x:v>
      </x:c>
      <x:c r="C7" s="26" t="n">
        <x:v>31600</x:v>
      </x:c>
      <x:c r="D7" s="27" t="n">
        <x:f>SUM(F7:I7)</x:f>
        <x:v>34000</x:v>
      </x:c>
      <x:c r="E7" s="12"/>
      <x:c r="F7" s="26" t="n">
        <x:v>7650</x:v>
      </x:c>
      <x:c r="G7" s="26" t="n">
        <x:v>8200</x:v>
      </x:c>
      <x:c r="H7" s="26" t="n">
        <x:v>8650</x:v>
      </x:c>
      <x:c r="I7" s="26" t="n">
        <x:v>9500</x:v>
      </x:c>
    </x:row>
    <x:row r="8" ht="21" customHeight="1">
      <x:c r="A8" s="3"/>
      <x:c r="B8" s="3" t="str">
        <x:v>COGS before vendor incentives</x:v>
      </x:c>
      <x:c r="C8" s="14" t="n">
        <x:v>25000</x:v>
      </x:c>
      <x:c r="D8" s="12" t="n">
        <x:f>SUM(F8:I8)</x:f>
        <x:v>26650</x:v>
      </x:c>
      <x:c r="E8" s="12"/>
      <x:c r="F8" s="14" t="n">
        <x:v>6050</x:v>
      </x:c>
      <x:c r="G8" s="14" t="n">
        <x:v>6450</x:v>
      </x:c>
      <x:c r="H8" s="14" t="n">
        <x:v>6800</x:v>
      </x:c>
      <x:c r="I8" s="14" t="n">
        <x:v>7350</x:v>
      </x:c>
    </x:row>
    <x:row r="9" ht="21" customHeight="1">
      <x:c r="A9" s="3"/>
      <x:c r="B9" s="3" t="str">
        <x:v>Vendor incentive credited to COGS</x:v>
      </x:c>
      <x:c r="C9" s="14" t="n">
        <x:v>180</x:v>
      </x:c>
      <x:c r="D9" s="12" t="n">
        <x:f>SUM(F9:I9)</x:f>
        <x:v>450</x:v>
      </x:c>
      <x:c r="E9" s="12"/>
      <x:c r="F9" s="14" t="n">
        <x:v>0</x:v>
      </x:c>
      <x:c r="G9" s="14" t="n">
        <x:v>0</x:v>
      </x:c>
      <x:c r="H9" s="14" t="n">
        <x:v>0</x:v>
      </x:c>
      <x:c r="I9" s="14" t="n">
        <x:v>450</x:v>
      </x:c>
    </x:row>
    <x:row r="10" ht="21" customHeight="1">
      <x:c r="A10" s="3"/>
      <x:c r="B10" s="3" t="str">
        <x:v>Reported COGS, net</x:v>
      </x:c>
      <x:c r="C10" s="14" t="n">
        <x:v>24820</x:v>
      </x:c>
      <x:c r="D10" s="12" t="n">
        <x:f>SUM(F10:I10)</x:f>
        <x:v>26200</x:v>
      </x:c>
      <x:c r="E10" s="12"/>
      <x:c r="F10" s="14" t="n">
        <x:v>6050</x:v>
      </x:c>
      <x:c r="G10" s="14" t="n">
        <x:v>6450</x:v>
      </x:c>
      <x:c r="H10" s="14" t="n">
        <x:v>6800</x:v>
      </x:c>
      <x:c r="I10" s="14" t="n">
        <x:v>6900</x:v>
      </x:c>
    </x:row>
    <x:row r="11" ht="21" customHeight="1">
      <x:c r="A11" s="3"/>
      <x:c r="B11" s="3" t="str">
        <x:v>Cash operating expenses</x:v>
      </x:c>
      <x:c r="C11" s="14" t="n">
        <x:v>4080</x:v>
      </x:c>
      <x:c r="D11" s="12" t="n">
        <x:f>SUM(F11:I11)</x:f>
        <x:v>4200</x:v>
      </x:c>
      <x:c r="E11" s="12"/>
      <x:c r="F11" s="14" t="n">
        <x:v>980</x:v>
      </x:c>
      <x:c r="G11" s="14" t="n">
        <x:v>1020</x:v>
      </x:c>
      <x:c r="H11" s="14" t="n">
        <x:v>1060</x:v>
      </x:c>
      <x:c r="I11" s="14" t="n">
        <x:v>1140</x:v>
      </x:c>
    </x:row>
    <x:row r="12" ht="21" customHeight="1">
      <x:c r="A12" s="3"/>
      <x:c r="B12" s="28" t="str">
        <x:v>Reported EBITDA</x:v>
      </x:c>
      <x:c r="C12" s="29" t="n">
        <x:v>2700</x:v>
      </x:c>
      <x:c r="D12" s="30" t="n">
        <x:f>SUM(F12:I12)</x:f>
        <x:v>3600</x:v>
      </x:c>
      <x:c r="E12" s="12"/>
      <x:c r="F12" s="29" t="n">
        <x:v>620</x:v>
      </x:c>
      <x:c r="G12" s="29" t="n">
        <x:v>730</x:v>
      </x:c>
      <x:c r="H12" s="29" t="n">
        <x:v>790</x:v>
      </x:c>
      <x:c r="I12" s="29" t="n">
        <x:v>1460</x:v>
      </x:c>
    </x:row>
    <x:row r="13" ht="21" customHeight="1">
      <x:c r="A13" s="3"/>
      <x:c r="B13" s="3"/>
      <x:c r="C13" s="12"/>
      <x:c r="D13" s="12"/>
      <x:c r="E13" s="12"/>
      <x:c r="F13" s="14"/>
      <x:c r="G13" s="12"/>
      <x:c r="H13" s="16"/>
      <x:c r="I13" s="12"/>
    </x:row>
    <x:row r="14" ht="21" customHeight="1">
      <x:c r="A14" s="3"/>
      <x:c r="B14" s="3" t="str">
        <x:v>ERP implementation adjustment</x:v>
      </x:c>
      <x:c r="C14" s="14" t="n">
        <x:v>0</x:v>
      </x:c>
      <x:c r="D14" s="12" t="n">
        <x:f>SUM(F14:I14)</x:f>
        <x:v>180</x:v>
      </x:c>
      <x:c r="E14" s="12"/>
      <x:c r="F14" s="14" t="n">
        <x:v>0</x:v>
      </x:c>
      <x:c r="G14" s="14" t="n">
        <x:v>60</x:v>
      </x:c>
      <x:c r="H14" s="14" t="n">
        <x:v>120</x:v>
      </x:c>
      <x:c r="I14" s="14" t="n">
        <x:v>0</x:v>
      </x:c>
    </x:row>
    <x:row r="15" ht="21" customHeight="1">
      <x:c r="A15" s="3"/>
      <x:c r="B15" s="3" t="str">
        <x:v>Owner personal expense adjustment</x:v>
      </x:c>
      <x:c r="C15" s="14" t="n">
        <x:v>120</x:v>
      </x:c>
      <x:c r="D15" s="12" t="n">
        <x:f>SUM(F15:I15)</x:f>
        <x:v>120</x:v>
      </x:c>
      <x:c r="E15" s="12"/>
      <x:c r="F15" s="14" t="n">
        <x:v>30</x:v>
      </x:c>
      <x:c r="G15" s="14" t="n">
        <x:v>30</x:v>
      </x:c>
      <x:c r="H15" s="14" t="n">
        <x:v>30</x:v>
      </x:c>
      <x:c r="I15" s="14" t="n">
        <x:v>30</x:v>
      </x:c>
    </x:row>
    <x:row r="16" ht="21" customHeight="1">
      <x:c r="A16" s="3"/>
      <x:c r="B16" s="28" t="str">
        <x:v>Seller-adjusted EBITDA</x:v>
      </x:c>
      <x:c r="C16" s="29" t="n">
        <x:v>2820</x:v>
      </x:c>
      <x:c r="D16" s="30" t="n">
        <x:f>SUM(F16:I16)</x:f>
        <x:v>3900</x:v>
      </x:c>
      <x:c r="E16" s="12"/>
      <x:c r="F16" s="29" t="n">
        <x:v>650</x:v>
      </x:c>
      <x:c r="G16" s="29" t="n">
        <x:v>820</x:v>
      </x:c>
      <x:c r="H16" s="29" t="n">
        <x:v>940</x:v>
      </x:c>
      <x:c r="I16" s="29" t="n">
        <x:v>1490</x:v>
      </x:c>
    </x:row>
    <x:row r="17" ht="21" customHeight="1">
      <x:c r="A17" s="3"/>
      <x:c r="B17" s="3"/>
      <x:c r="C17" s="12"/>
      <x:c r="D17" s="12"/>
      <x:c r="E17" s="12"/>
      <x:c r="F17" s="14"/>
      <x:c r="G17" s="12"/>
      <x:c r="H17" s="16"/>
      <x:c r="I17" s="12"/>
    </x:row>
    <x:row r="18" ht="21" customHeight="1">
      <x:c r="A18" s="3"/>
      <x:c r="B18" s="7" t="str">
        <x:v>Source amounts remain in $000. Expense amounts are positive magnitudes for subtraction.</x:v>
      </x:c>
      <x:c r="C18" s="16"/>
      <x:c r="D18" s="16"/>
      <x:c r="E18" s="16"/>
      <x:c r="F18" s="16"/>
      <x:c r="G18" s="16"/>
      <x:c r="H18" s="16"/>
      <x:c r="I18" s="12"/>
    </x:row>
    <x:row r="19" ht="21" customHeight="1">
      <x:c r="A19" s="3"/>
      <x:c r="B19" s="7" t="str">
        <x:v>FY2024 vendor benefits are an aggregate line; its vendor/program allocation has not been supplied.</x:v>
      </x:c>
      <x:c r="C19" s="16"/>
      <x:c r="D19" s="16"/>
      <x:c r="E19" s="16"/>
      <x:c r="F19" s="16"/>
      <x:c r="G19" s="16"/>
      <x:c r="H19" s="16"/>
      <x:c r="I19" s="12"/>
    </x:row>
    <x:row r="20" ht="21" customHeight="1">
      <x:c r="A20" s="3"/>
      <x:c r="B20" s="3"/>
      <x:c r="C20" s="12"/>
      <x:c r="D20" s="12"/>
      <x:c r="E20" s="12"/>
      <x:c r="F20" s="14"/>
      <x:c r="G20" s="12"/>
      <x:c r="H20" s="16"/>
      <x:c r="I20" s="12"/>
    </x:row>
    <x:row r="21" ht="21" customHeight="1">
      <x:c r="A21" s="3"/>
      <x:c r="B21" s="33" t="str">
        <x:v>Source reconciliation</x:v>
      </x:c>
      <x:c r="C21" s="34" t="str">
        <x:v>DOC-01 control</x:v>
      </x:c>
      <x:c r="D21" s="34" t="str">
        <x:v>Difference</x:v>
      </x:c>
      <x:c r="E21" s="12"/>
      <x:c r="F21" s="14"/>
      <x:c r="G21" s="12"/>
      <x:c r="H21" s="16"/>
      <x:c r="I21" s="12"/>
    </x:row>
    <x:row r="22" ht="21" customHeight="1">
      <x:c r="A22" s="3"/>
      <x:c r="B22" s="3" t="str">
        <x:v>Revenue</x:v>
      </x:c>
      <x:c r="C22" s="12" t="n">
        <x:v>34000</x:v>
      </x:c>
      <x:c r="D22" s="35" t="n">
        <x:f>D7-C22</x:f>
        <x:v>0</x:v>
      </x:c>
      <x:c r="E22" s="12"/>
      <x:c r="F22" s="14"/>
      <x:c r="G22" s="12"/>
      <x:c r="H22" s="16"/>
      <x:c r="I22" s="12"/>
    </x:row>
    <x:row r="23" ht="21" customHeight="1">
      <x:c r="A23" s="3"/>
      <x:c r="B23" s="3" t="str">
        <x:v>Net COGS</x:v>
      </x:c>
      <x:c r="C23" s="12" t="n">
        <x:v>26200</x:v>
      </x:c>
      <x:c r="D23" s="35" t="n">
        <x:f>D10-C23</x:f>
        <x:v>0</x:v>
      </x:c>
      <x:c r="E23" s="12"/>
      <x:c r="F23" s="14"/>
      <x:c r="G23" s="12"/>
      <x:c r="H23" s="16"/>
      <x:c r="I23" s="12"/>
    </x:row>
    <x:row r="24" ht="21" customHeight="1">
      <x:c r="A24" s="3"/>
      <x:c r="B24" s="3" t="str">
        <x:v>Reported EBITDA</x:v>
      </x:c>
      <x:c r="C24" s="12" t="n">
        <x:v>3600</x:v>
      </x:c>
      <x:c r="D24" s="35" t="n">
        <x:f>D12-C24</x:f>
        <x:v>0</x:v>
      </x:c>
      <x:c r="E24" s="12"/>
      <x:c r="F24" s="14"/>
      <x:c r="G24" s="12"/>
      <x:c r="H24" s="16"/>
      <x:c r="I24" s="12"/>
    </x:row>
    <x:row r="25" ht="21" customHeight="1">
      <x:c r="A25" s="3"/>
      <x:c r="B25" s="3" t="str">
        <x:v>Adjusted EBITDA</x:v>
      </x:c>
      <x:c r="C25" s="12" t="n">
        <x:v>3900</x:v>
      </x:c>
      <x:c r="D25" s="35" t="n">
        <x:f>D16-C25</x:f>
        <x:v>0</x:v>
      </x:c>
      <x:c r="E25" s="12"/>
      <x:c r="F25" s="14"/>
      <x:c r="G25" s="12"/>
      <x:c r="H25" s="16"/>
      <x:c r="I25" s="12"/>
    </x:row>
    <x:row r="26" ht="21" customHeight="1">
      <x:c r="A26" s="3"/>
      <x:c r="B26" s="3"/>
      <x:c r="C26" s="12"/>
      <x:c r="D26" s="12"/>
      <x:c r="E26" s="12"/>
      <x:c r="F26" s="14"/>
      <x:c r="G26" s="12"/>
      <x:c r="H26" s="16"/>
      <x:c r="I26" s="12"/>
    </x:row>
    <x:row r="27" ht="21" customHeight="1">
      <x:c r="A27" s="3"/>
      <x:c r="B27" s="3" t="str">
        <x:v>Reported EBITDA identity</x:v>
      </x:c>
      <x:c r="C27" s="35" t="n">
        <x:f>C7-C10-C11-C12</x:f>
        <x:v>0</x:v>
      </x:c>
      <x:c r="D27" s="35" t="n">
        <x:f>D7-D10-D11-D12</x:f>
        <x:v>0</x:v>
      </x:c>
      <x:c r="E27" s="12"/>
      <x:c r="F27" s="35" t="n">
        <x:f>F7-F10-F11-F12</x:f>
        <x:v>0</x:v>
      </x:c>
      <x:c r="G27" s="35" t="n">
        <x:f>G7-G10-G11-G12</x:f>
        <x:v>0</x:v>
      </x:c>
      <x:c r="H27" s="35" t="n">
        <x:f>H7-H10-H11-H12</x:f>
        <x:v>0</x:v>
      </x:c>
      <x:c r="I27" s="35" t="n">
        <x:f>I7-I10-I11-I12</x:f>
        <x:v>0</x:v>
      </x:c>
    </x:row>
    <x:row r="28" ht="21" customHeight="1">
      <x:c r="A28" s="3"/>
      <x:c r="B28" s="3" t="str">
        <x:v>Adjusted EBITDA identity</x:v>
      </x:c>
      <x:c r="C28" s="35" t="n">
        <x:f>SUM(C12,C14:C15)-C16</x:f>
        <x:v>0</x:v>
      </x:c>
      <x:c r="D28" s="35" t="n">
        <x:f>SUM(D12,D14:D15)-D16</x:f>
        <x:v>0</x:v>
      </x:c>
      <x:c r="E28" s="12"/>
      <x:c r="F28" s="35" t="n">
        <x:f>SUM(F12,F14:F15)-F16</x:f>
        <x:v>0</x:v>
      </x:c>
      <x:c r="G28" s="35" t="n">
        <x:f>SUM(G12,G14:G15)-G16</x:f>
        <x:v>0</x:v>
      </x:c>
      <x:c r="H28" s="35" t="n">
        <x:f>SUM(H12,H14:H15)-H16</x:f>
        <x:v>0</x:v>
      </x:c>
      <x:c r="I28" s="35" t="n">
        <x:f>SUM(I12,I14:I15)-I16</x:f>
        <x:v>0</x:v>
      </x:c>
    </x:row>
    <x:row r="29" ht="21" customHeight="1">
      <x:c r="A29" s="3"/>
      <x:c r="B29" s="3"/>
      <x:c r="C29" s="5"/>
      <x:c r="D29" s="3"/>
      <x:c r="E29" s="3"/>
      <x:c r="F29" s="6"/>
      <x:c r="G29" s="3"/>
      <x:c r="H29" s="7"/>
      <x:c r="I29" s="3"/>
    </x:row>
    <x:row r="30" ht="21" customHeight="1">
      <x:c r="A30" s="3"/>
      <x:c r="B30" s="7" t="str">
        <x:v>Sources: DOC-04 operating accounts and adjustment detail; DOC-01 annual submission.</x:v>
      </x:c>
      <x:c r="C30" s="38"/>
      <x:c r="D30" s="7"/>
      <x:c r="E30" s="7"/>
      <x:c r="F30" s="38"/>
      <x:c r="G30" s="7"/>
      <x:c r="H30" s="7"/>
      <x:c r="I30" s="3"/>
    </x:row>
    <x:row r="31" ht="21" customHeight="1">
      <x:c r="A31" s="3"/>
      <x:c r="B31" s="7" t="str">
        <x:v>The buyer accepts A-01 and A-02 for this limited screen in DOC-02. Broader diligence remains open.</x:v>
      </x:c>
      <x:c r="C31" s="38"/>
      <x:c r="D31" s="7"/>
      <x:c r="E31" s="7"/>
      <x:c r="F31" s="38"/>
      <x:c r="G31" s="7"/>
      <x:c r="H31" s="7"/>
      <x:c r="I31" s="3"/>
    </x:row>
    <x:row r="32" ht="21" customHeight="1">
      <x:c r="A32" s="3"/>
      <x:c r="B32" s="3"/>
      <x:c r="C32" s="5"/>
      <x:c r="D32" s="3"/>
      <x:c r="E32" s="3"/>
      <x:c r="F32" s="6"/>
      <x:c r="G32" s="3"/>
      <x:c r="H32" s="7"/>
      <x:c r="I32" s="3"/>
    </x:row>
    <x:row r="33" ht="21" customHeight="1">
      <x:c r="A33" s="3"/>
      <x:c r="B33" s="3"/>
      <x:c r="C33" s="5"/>
      <x:c r="D33" s="3"/>
      <x:c r="E33" s="3"/>
      <x:c r="F33" s="6"/>
      <x:c r="G33" s="3"/>
      <x:c r="H33" s="7"/>
      <x:c r="I33" s="3"/>
    </x:row>
  </x:sheetData>
  <x:conditionalFormatting sqref="D22:D25">
    <x:cfRule type="cellIs" dxfId="0" priority="1" operator="notEqual">
      <x:formula>0</x:formula>
    </x:cfRule>
  </x:conditionalFormatting>
  <x:conditionalFormatting sqref="C27:D28">
    <x:cfRule type="cellIs" dxfId="1" priority="2" operator="notEqual">
      <x:formula>0</x:formula>
    </x:cfRule>
  </x:conditionalFormatting>
  <x:conditionalFormatting sqref="F27:I28">
    <x:cfRule type="cellIs" dxfId="2" priority="3" operator="notEqual">
      <x:formula>0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D9CEB8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" hidden="0" customWidth="1"/>
    <x:col min="2" max="2" width="34" hidden="0" customWidth="1"/>
    <x:col min="3" max="3" width="17" hidden="0" customWidth="1"/>
    <x:col min="4" max="4" width="17" hidden="0" customWidth="1"/>
    <x:col min="5" max="5" width="18" hidden="0" customWidth="1"/>
    <x:col min="6" max="6" width="16" hidden="0" customWidth="1"/>
    <x:col min="7" max="7" width="18" hidden="0" customWidth="1"/>
    <x:col min="8" max="8" width="3" hidden="0" customWidth="1"/>
    <x:col min="9" max="9" width="28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28" customHeight="1">
      <x:c r="A2" s="3"/>
      <x:c r="B2" s="8" t="str">
        <x:v>Calder: purchasing source records</x:v>
      </x:c>
      <x:c r="C2" s="8"/>
      <x:c r="D2" s="8"/>
      <x:c r="E2" s="8"/>
      <x:c r="F2" s="8"/>
      <x:c r="G2" s="8"/>
      <x:c r="H2" s="8"/>
      <x:c r="I2" s="3"/>
    </x:row>
    <x:row r="3" ht="21" customHeight="1">
      <x:c r="A3" s="3"/>
      <x:c r="B3" s="11" t="str">
        <x:v>DOC-03, DOC-05 and DOC-06. Exclusivity release. Source amounts in USD thousands.</x:v>
      </x:c>
      <x:c r="C3" s="11"/>
      <x:c r="D3" s="11"/>
      <x:c r="E3" s="11"/>
      <x:c r="F3" s="11"/>
      <x:c r="G3" s="11"/>
      <x:c r="H3" s="11"/>
      <x:c r="I3" s="3"/>
    </x:row>
    <x:row r="4" ht="21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30" customHeight="1">
      <x:c r="A5" s="3"/>
      <x:c r="B5" s="21" t="str">
        <x:v>FY2025 / $000</x:v>
      </x:c>
      <x:c r="C5" s="21" t="str">
        <x:v>AP CIS-44082</x:v>
      </x:c>
      <x:c r="D5" s="21" t="str">
        <x:v>AP CFS-66019</x:v>
      </x:c>
      <x:c r="E5" s="21" t="str">
        <x:v>Supplier merch.</x:v>
      </x:c>
      <x:c r="F5" s="21" t="str">
        <x:v>Freight</x:v>
      </x:c>
      <x:c r="G5" s="21" t="str">
        <x:v>Credits posted</x:v>
      </x:c>
      <x:c r="H5" s="3"/>
      <x:c r="I5" s="3"/>
    </x:row>
    <x:row r="6" ht="21" customHeight="1">
      <x:c r="A6" s="3"/>
      <x:c r="B6" s="3" t="str">
        <x:v>Jan-25</x:v>
      </x:c>
      <x:c r="C6" s="14" t="n">
        <x:v>675</x:v>
      </x:c>
      <x:c r="D6" s="14" t="n">
        <x:v>150</x:v>
      </x:c>
      <x:c r="E6" s="14" t="n">
        <x:v>680</x:v>
      </x:c>
      <x:c r="F6" s="14" t="n">
        <x:v>15</x:v>
      </x:c>
      <x:c r="G6" s="14" t="n">
        <x:v>20</x:v>
      </x:c>
      <x:c r="H6" s="7"/>
      <x:c r="I6" s="3" t="str">
        <x:v>AP export: DOC-05</x:v>
      </x:c>
    </x:row>
    <x:row r="7" ht="21" customHeight="1">
      <x:c r="A7" s="3"/>
      <x:c r="B7" s="3" t="str">
        <x:v>Feb-25</x:v>
      </x:c>
      <x:c r="C7" s="14" t="n">
        <x:v>695</x:v>
      </x:c>
      <x:c r="D7" s="14" t="n">
        <x:v>150</x:v>
      </x:c>
      <x:c r="E7" s="14" t="n">
        <x:v>700</x:v>
      </x:c>
      <x:c r="F7" s="14" t="n">
        <x:v>15</x:v>
      </x:c>
      <x:c r="G7" s="14" t="n">
        <x:v>20</x:v>
      </x:c>
      <x:c r="H7" s="7"/>
      <x:c r="I7" s="3" t="str">
        <x:v>Supplier statement: DOC-05</x:v>
      </x:c>
    </x:row>
    <x:row r="8" ht="21" customHeight="1">
      <x:c r="A8" s="3"/>
      <x:c r="B8" s="3" t="str">
        <x:v>Mar-25</x:v>
      </x:c>
      <x:c r="C8" s="14" t="n">
        <x:v>835</x:v>
      </x:c>
      <x:c r="D8" s="14" t="n">
        <x:v>150</x:v>
      </x:c>
      <x:c r="E8" s="14" t="n">
        <x:v>860</x:v>
      </x:c>
      <x:c r="F8" s="14" t="n">
        <x:v>15</x:v>
      </x:c>
      <x:c r="G8" s="14" t="n">
        <x:v>40</x:v>
      </x:c>
      <x:c r="H8" s="7"/>
      <x:c r="I8" s="3" t="str">
        <x:v>Account scope: DOC-03</x:v>
      </x:c>
    </x:row>
    <x:row r="9" ht="21" customHeight="1">
      <x:c r="A9" s="3"/>
      <x:c r="B9" s="3" t="str">
        <x:v>Apr-25</x:v>
      </x:c>
      <x:c r="C9" s="14" t="n">
        <x:v>775</x:v>
      </x:c>
      <x:c r="D9" s="14" t="n">
        <x:v>160</x:v>
      </x:c>
      <x:c r="E9" s="14" t="n">
        <x:v>780</x:v>
      </x:c>
      <x:c r="F9" s="14" t="n">
        <x:v>15</x:v>
      </x:c>
      <x:c r="G9" s="14" t="n">
        <x:v>20</x:v>
      </x:c>
      <x:c r="H9" s="7"/>
      <x:c r="I9" s="3"/>
    </x:row>
    <x:row r="10" ht="21" customHeight="1">
      <x:c r="A10" s="3"/>
      <x:c r="B10" s="3" t="str">
        <x:v>May-25</x:v>
      </x:c>
      <x:c r="C10" s="14" t="n">
        <x:v>835</x:v>
      </x:c>
      <x:c r="D10" s="14" t="n">
        <x:v>160</x:v>
      </x:c>
      <x:c r="E10" s="14" t="n">
        <x:v>840</x:v>
      </x:c>
      <x:c r="F10" s="14" t="n">
        <x:v>15</x:v>
      </x:c>
      <x:c r="G10" s="14" t="n">
        <x:v>20</x:v>
      </x:c>
      <x:c r="H10" s="7"/>
      <x:c r="I10" s="3"/>
    </x:row>
    <x:row r="11" ht="21" customHeight="1">
      <x:c r="A11" s="3"/>
      <x:c r="B11" s="3" t="str">
        <x:v>Jun-25</x:v>
      </x:c>
      <x:c r="C11" s="14" t="n">
        <x:v>895</x:v>
      </x:c>
      <x:c r="D11" s="14" t="n">
        <x:v>160</x:v>
      </x:c>
      <x:c r="E11" s="14" t="n">
        <x:v>900</x:v>
      </x:c>
      <x:c r="F11" s="14" t="n">
        <x:v>15</x:v>
      </x:c>
      <x:c r="G11" s="14" t="n">
        <x:v>20</x:v>
      </x:c>
      <x:c r="H11" s="7"/>
      <x:c r="I11" s="3"/>
    </x:row>
    <x:row r="12" ht="21" customHeight="1">
      <x:c r="A12" s="3"/>
      <x:c r="B12" s="3" t="str">
        <x:v>Jul-25</x:v>
      </x:c>
      <x:c r="C12" s="14" t="n">
        <x:v>855</x:v>
      </x:c>
      <x:c r="D12" s="14" t="n">
        <x:v>170</x:v>
      </x:c>
      <x:c r="E12" s="14" t="n">
        <x:v>860</x:v>
      </x:c>
      <x:c r="F12" s="14" t="n">
        <x:v>15</x:v>
      </x:c>
      <x:c r="G12" s="14" t="n">
        <x:v>20</x:v>
      </x:c>
      <x:c r="H12" s="7"/>
      <x:c r="I12" s="3"/>
    </x:row>
    <x:row r="13" ht="21" customHeight="1">
      <x:c r="A13" s="3"/>
      <x:c r="B13" s="3" t="str">
        <x:v>Aug-25</x:v>
      </x:c>
      <x:c r="C13" s="14" t="n">
        <x:v>875</x:v>
      </x:c>
      <x:c r="D13" s="14" t="n">
        <x:v>170</x:v>
      </x:c>
      <x:c r="E13" s="14" t="n">
        <x:v>900</x:v>
      </x:c>
      <x:c r="F13" s="14" t="n">
        <x:v>15</x:v>
      </x:c>
      <x:c r="G13" s="14" t="n">
        <x:v>40</x:v>
      </x:c>
      <x:c r="H13" s="7"/>
      <x:c r="I13" s="3"/>
    </x:row>
    <x:row r="14" ht="21" customHeight="1">
      <x:c r="A14" s="3"/>
      <x:c r="B14" s="3" t="str">
        <x:v>Sep-25</x:v>
      </x:c>
      <x:c r="C14" s="14" t="n">
        <x:v>955</x:v>
      </x:c>
      <x:c r="D14" s="14" t="n">
        <x:v>170</x:v>
      </x:c>
      <x:c r="E14" s="14" t="n">
        <x:v>960</x:v>
      </x:c>
      <x:c r="F14" s="14" t="n">
        <x:v>15</x:v>
      </x:c>
      <x:c r="G14" s="14" t="n">
        <x:v>20</x:v>
      </x:c>
      <x:c r="H14" s="7"/>
      <x:c r="I14" s="3"/>
    </x:row>
    <x:row r="15" ht="21" customHeight="1">
      <x:c r="A15" s="3"/>
      <x:c r="B15" s="3" t="str">
        <x:v>Oct-25</x:v>
      </x:c>
      <x:c r="C15" s="14" t="n">
        <x:v>895</x:v>
      </x:c>
      <x:c r="D15" s="14" t="n">
        <x:v>180</x:v>
      </x:c>
      <x:c r="E15" s="14" t="n">
        <x:v>920</x:v>
      </x:c>
      <x:c r="F15" s="14" t="n">
        <x:v>15</x:v>
      </x:c>
      <x:c r="G15" s="14" t="n">
        <x:v>40</x:v>
      </x:c>
      <x:c r="H15" s="7"/>
      <x:c r="I15" s="3"/>
    </x:row>
    <x:row r="16" ht="21" customHeight="1">
      <x:c r="A16" s="3"/>
      <x:c r="B16" s="3" t="str">
        <x:v>Nov-25</x:v>
      </x:c>
      <x:c r="C16" s="14" t="n">
        <x:v>975</x:v>
      </x:c>
      <x:c r="D16" s="14" t="n">
        <x:v>190</x:v>
      </x:c>
      <x:c r="E16" s="14" t="n">
        <x:v>960</x:v>
      </x:c>
      <x:c r="F16" s="14" t="n">
        <x:v>15</x:v>
      </x:c>
      <x:c r="G16" s="14" t="n">
        <x:v>0</x:v>
      </x:c>
      <x:c r="H16" s="7"/>
      <x:c r="I16" s="3"/>
    </x:row>
    <x:row r="17" ht="21" customHeight="1">
      <x:c r="A17" s="3"/>
      <x:c r="B17" s="3" t="str">
        <x:v>Dec-25</x:v>
      </x:c>
      <x:c r="C17" s="14" t="n">
        <x:v>975</x:v>
      </x:c>
      <x:c r="D17" s="14" t="n">
        <x:v>190</x:v>
      </x:c>
      <x:c r="E17" s="14" t="n">
        <x:v>960</x:v>
      </x:c>
      <x:c r="F17" s="14" t="n">
        <x:v>15</x:v>
      </x:c>
      <x:c r="G17" s="14" t="n">
        <x:v>0</x:v>
      </x:c>
      <x:c r="H17" s="7"/>
      <x:c r="I17" s="3"/>
    </x:row>
    <x:row r="18" ht="21" customHeight="1">
      <x:c r="A18" s="3"/>
      <x:c r="B18" s="28" t="str">
        <x:v>Annual source rollups</x:v>
      </x:c>
      <x:c r="C18" s="30" t="n">
        <x:f>SUM(C6:C17)</x:f>
        <x:v>10240</x:v>
      </x:c>
      <x:c r="D18" s="30" t="n">
        <x:f>SUM(D6:D17)</x:f>
        <x:v>2000</x:v>
      </x:c>
      <x:c r="E18" s="30" t="n">
        <x:f>SUM(E6:E17)</x:f>
        <x:v>10320</x:v>
      </x:c>
      <x:c r="F18" s="30" t="n">
        <x:f>SUM(F6:F17)</x:f>
        <x:v>180</x:v>
      </x:c>
      <x:c r="G18" s="30" t="n">
        <x:f>SUM(G6:G17)</x:f>
        <x:v>260</x:v>
      </x:c>
      <x:c r="H18" s="7"/>
      <x:c r="I18" s="3"/>
    </x:row>
    <x:row r="19" ht="21" customHeight="1">
      <x:c r="A19" s="3"/>
      <x:c r="B19" s="3"/>
      <x:c r="C19" s="12"/>
      <x:c r="D19" s="12"/>
      <x:c r="E19" s="12"/>
      <x:c r="F19" s="14"/>
      <x:c r="G19" s="12"/>
      <x:c r="H19" s="7"/>
      <x:c r="I19" s="3"/>
    </x:row>
    <x:row r="20" ht="21" customHeight="1">
      <x:c r="A20" s="3"/>
      <x:c r="B20" s="3" t="str">
        <x:v>AP extract, combined accounts</x:v>
      </x:c>
      <x:c r="C20" s="12" t="n">
        <x:f>SUM(C18:D18)</x:f>
        <x:v>12240</x:v>
      </x:c>
      <x:c r="D20" s="12"/>
      <x:c r="E20" s="12"/>
      <x:c r="F20" s="14"/>
      <x:c r="G20" s="12"/>
      <x:c r="H20" s="7"/>
      <x:c r="I20" s="3"/>
    </x:row>
    <x:row r="21" ht="21" customHeight="1">
      <x:c r="A21" s="3"/>
      <x:c r="B21" s="3" t="str">
        <x:v>Supplier main-account activity</x:v>
      </x:c>
      <x:c r="C21" s="12" t="n">
        <x:f>SUM(E18:F18)-G18</x:f>
        <x:v>10240</x:v>
      </x:c>
      <x:c r="D21" s="12"/>
      <x:c r="E21" s="12"/>
      <x:c r="F21" s="14"/>
      <x:c r="G21" s="12"/>
      <x:c r="H21" s="7"/>
      <x:c r="I21" s="3"/>
    </x:row>
    <x:row r="22" ht="21" customHeight="1">
      <x:c r="A22" s="3"/>
      <x:c r="B22" s="3" t="str">
        <x:v>AP to statement difference</x:v>
      </x:c>
      <x:c r="C22" s="12" t="n">
        <x:f>C20-C21</x:f>
        <x:v>2000</x:v>
      </x:c>
      <x:c r="D22" s="12"/>
      <x:c r="E22" s="12"/>
      <x:c r="F22" s="14"/>
      <x:c r="G22" s="12"/>
      <x:c r="H22" s="7"/>
      <x:c r="I22" s="3"/>
    </x:row>
    <x:row r="23" ht="21" customHeight="1">
      <x:c r="A23" s="3"/>
      <x:c r="B23" s="7" t="str">
        <x:v>Credit register: FY2025 CIS merchandise returns, invoiced, accepted and posted in the month shown (DOC-05).</x:v>
      </x:c>
      <x:c r="C23" s="16"/>
      <x:c r="D23" s="16"/>
      <x:c r="E23" s="16"/>
      <x:c r="F23" s="16"/>
      <x:c r="G23" s="16"/>
      <x:c r="H23" s="7"/>
      <x:c r="I23" s="3"/>
    </x:row>
    <x:row r="24" ht="25" customHeight="1">
      <x:c r="A24" s="3"/>
      <x:c r="B24" s="19" t="str">
        <x:v>Credit memo CM-260115. Posted January 15, 2026.</x:v>
      </x:c>
      <x:c r="C24" s="41"/>
      <x:c r="D24" s="41"/>
      <x:c r="E24" s="41"/>
      <x:c r="F24" s="41"/>
      <x:c r="G24" s="41"/>
      <x:c r="H24" s="7"/>
      <x:c r="I24" s="3"/>
    </x:row>
    <x:row r="25" ht="21" customHeight="1">
      <x:c r="A25" s="3"/>
      <x:c r="B25" s="3"/>
      <x:c r="C25" s="12"/>
      <x:c r="D25" s="12"/>
      <x:c r="E25" s="12"/>
      <x:c r="F25" s="14"/>
      <x:c r="G25" s="12"/>
      <x:c r="H25" s="7"/>
      <x:c r="I25" s="3"/>
    </x:row>
    <x:row r="26" ht="21" customHeight="1">
      <x:c r="A26" s="3"/>
      <x:c r="B26" s="3" t="str">
        <x:v>Return acceptance date</x:v>
      </x:c>
      <x:c r="C26" s="42" t="str">
        <x:v>Dec 29, 2025</x:v>
      </x:c>
      <x:c r="D26" s="12"/>
      <x:c r="E26" s="12"/>
      <x:c r="F26" s="14"/>
      <x:c r="G26" s="12"/>
      <x:c r="H26" s="7"/>
      <x:c r="I26" s="3"/>
    </x:row>
    <x:row r="27" ht="21" customHeight="1">
      <x:c r="A27" s="3"/>
      <x:c r="B27" s="3" t="str">
        <x:v>November merchandise credits</x:v>
      </x:c>
      <x:c r="C27" s="14" t="n">
        <x:v>20</x:v>
      </x:c>
      <x:c r="D27" s="12"/>
      <x:c r="E27" s="12"/>
      <x:c r="F27" s="14"/>
      <x:c r="G27" s="12"/>
      <x:c r="H27" s="7"/>
      <x:c r="I27" s="3" t="str">
        <x:v>DOC-05 return support</x:v>
      </x:c>
    </x:row>
    <x:row r="28" ht="21" customHeight="1">
      <x:c r="A28" s="3"/>
      <x:c r="B28" s="3" t="str">
        <x:v>December merchandise credits</x:v>
      </x:c>
      <x:c r="C28" s="14" t="n">
        <x:v>40</x:v>
      </x:c>
      <x:c r="D28" s="12"/>
      <x:c r="E28" s="12"/>
      <x:c r="F28" s="14"/>
      <x:c r="G28" s="12"/>
      <x:c r="H28" s="7"/>
      <x:c r="I28" s="3"/>
    </x:row>
    <x:row r="29" ht="21" customHeight="1">
      <x:c r="A29" s="3"/>
      <x:c r="B29" s="3" t="str">
        <x:v>Credit memo total</x:v>
      </x:c>
      <x:c r="C29" s="12" t="n">
        <x:f>SUM(C27:C28)</x:f>
        <x:v>60</x:v>
      </x:c>
      <x:c r="D29" s="12"/>
      <x:c r="E29" s="12"/>
      <x:c r="F29" s="14"/>
      <x:c r="G29" s="12"/>
      <x:c r="H29" s="7"/>
      <x:c r="I29" s="3"/>
    </x:row>
    <x:row r="30" ht="21" customHeight="1">
      <x:c r="A30" s="3"/>
      <x:c r="B30" s="3"/>
      <x:c r="C30" s="12"/>
      <x:c r="D30" s="12"/>
      <x:c r="E30" s="12"/>
      <x:c r="F30" s="14"/>
      <x:c r="G30" s="12"/>
      <x:c r="H30" s="7"/>
      <x:c r="I30" s="3"/>
    </x:row>
    <x:row r="31" ht="21" customHeight="1">
      <x:c r="A31" s="3"/>
      <x:c r="B31" s="3"/>
      <x:c r="C31" s="12"/>
      <x:c r="D31" s="12"/>
      <x:c r="E31" s="12"/>
      <x:c r="F31" s="14"/>
      <x:c r="G31" s="12"/>
      <x:c r="H31" s="7"/>
      <x:c r="I31" s="3"/>
    </x:row>
    <x:row r="32" ht="25" customHeight="1">
      <x:c r="A32" s="3"/>
      <x:c r="B32" s="19" t="str">
        <x:v>JE-25-1228. Posted December 31, 2025.</x:v>
      </x:c>
      <x:c r="C32" s="41"/>
      <x:c r="D32" s="41"/>
      <x:c r="E32" s="41"/>
      <x:c r="F32" s="41"/>
      <x:c r="G32" s="41"/>
      <x:c r="H32" s="7"/>
      <x:c r="I32" s="3"/>
    </x:row>
    <x:row r="33" ht="21" customHeight="1">
      <x:c r="A33" s="3"/>
      <x:c r="B33" s="3"/>
      <x:c r="C33" s="12"/>
      <x:c r="D33" s="12"/>
      <x:c r="E33" s="12"/>
      <x:c r="F33" s="14"/>
      <x:c r="G33" s="12"/>
      <x:c r="H33" s="7"/>
      <x:c r="I33" s="3"/>
    </x:row>
    <x:row r="34" ht="21" customHeight="1">
      <x:c r="A34" s="3"/>
      <x:c r="B34" s="25" t="str">
        <x:v>Account</x:v>
      </x:c>
      <x:c r="C34" s="27" t="str">
        <x:v>Debit</x:v>
      </x:c>
      <x:c r="D34" s="27" t="str">
        <x:v>Credit</x:v>
      </x:c>
      <x:c r="E34" s="27" t="str">
        <x:v>Journal reference</x:v>
      </x:c>
      <x:c r="F34" s="14"/>
      <x:c r="G34" s="12"/>
      <x:c r="H34" s="7"/>
      <x:c r="I34" s="3"/>
    </x:row>
    <x:row r="35" ht="21" customHeight="1">
      <x:c r="A35" s="3"/>
      <x:c r="B35" s="3" t="str">
        <x:v>Vendor rebate receivable</x:v>
      </x:c>
      <x:c r="C35" s="14" t="n">
        <x:v>450</x:v>
      </x:c>
      <x:c r="D35" s="14" t="n">
        <x:v>0</x:v>
      </x:c>
      <x:c r="E35" s="42" t="str">
        <x:v>JE-25-1228</x:v>
      </x:c>
      <x:c r="F35" s="14"/>
      <x:c r="G35" s="12"/>
      <x:c r="H35" s="7"/>
      <x:c r="I35" s="3" t="str">
        <x:v>DOC-05 ledger extract</x:v>
      </x:c>
    </x:row>
    <x:row r="36" ht="21" customHeight="1">
      <x:c r="A36" s="3"/>
      <x:c r="B36" s="3" t="str">
        <x:v>Cost of sales incentive recovery</x:v>
      </x:c>
      <x:c r="C36" s="14" t="n">
        <x:v>0</x:v>
      </x:c>
      <x:c r="D36" s="14" t="n">
        <x:v>450</x:v>
      </x:c>
      <x:c r="E36" s="42" t="str">
        <x:v>JE-25-1228</x:v>
      </x:c>
      <x:c r="F36" s="14"/>
      <x:c r="G36" s="12"/>
      <x:c r="H36" s="7"/>
      <x:c r="I36" s="3"/>
    </x:row>
    <x:row r="37" ht="21" customHeight="1">
      <x:c r="A37" s="3"/>
      <x:c r="B37" s="7" t="str">
        <x:v>Controller close note: 3.75% on $12,000k threshold volume; conservative placeholder below the $12,300k plan.</x:v>
      </x:c>
      <x:c r="C37" s="16"/>
      <x:c r="D37" s="16"/>
      <x:c r="E37" s="16"/>
      <x:c r="F37" s="16"/>
      <x:c r="G37" s="16"/>
      <x:c r="H37" s="7"/>
      <x:c r="I37" s="3"/>
    </x:row>
    <x:row r="38" ht="21" customHeight="1">
      <x:c r="A38" s="3"/>
      <x:c r="B38" s="7" t="str">
        <x:v>Expected group volume supports the upper tier. Final account reconciliation pending. (DOC-05 close note)</x:v>
      </x:c>
      <x:c r="C38" s="16"/>
      <x:c r="D38" s="16"/>
      <x:c r="E38" s="16"/>
      <x:c r="F38" s="16"/>
      <x:c r="G38" s="16"/>
      <x:c r="H38" s="7"/>
      <x:c r="I38" s="3"/>
    </x:row>
    <x:row r="39" ht="25" customHeight="1">
      <x:c r="A39" s="3"/>
      <x:c r="B39" s="19" t="str">
        <x:v>Program terms and additional source facts</x:v>
      </x:c>
      <x:c r="C39" s="41"/>
      <x:c r="D39" s="41"/>
      <x:c r="E39" s="41"/>
      <x:c r="F39" s="41"/>
      <x:c r="G39" s="41"/>
      <x:c r="H39" s="7"/>
      <x:c r="I39" s="3"/>
    </x:row>
    <x:row r="40" ht="21" customHeight="1">
      <x:c r="A40" s="3"/>
      <x:c r="B40" s="3" t="str">
        <x:v>Program threshold ($000)</x:v>
      </x:c>
      <x:c r="C40" s="14" t="n">
        <x:v>12000</x:v>
      </x:c>
      <x:c r="D40" s="12"/>
      <x:c r="E40" s="12"/>
      <x:c r="F40" s="14"/>
      <x:c r="G40" s="12"/>
      <x:c r="H40" s="7"/>
      <x:c r="I40" s="3" t="str">
        <x:v>DOC-03</x:v>
      </x:c>
    </x:row>
    <x:row r="41" ht="21" customHeight="1">
      <x:c r="A41" s="3"/>
      <x:c r="B41" s="3" t="str">
        <x:v>Rate below threshold</x:v>
      </x:c>
      <x:c r="C41" s="44" t="n">
        <x:v>0.015</x:v>
      </x:c>
      <x:c r="D41" s="12"/>
      <x:c r="E41" s="12"/>
      <x:c r="F41" s="14"/>
      <x:c r="G41" s="12"/>
      <x:c r="H41" s="7"/>
      <x:c r="I41" s="3" t="str">
        <x:v>DOC-03</x:v>
      </x:c>
    </x:row>
    <x:row r="42" ht="21" customHeight="1">
      <x:c r="A42" s="3"/>
      <x:c r="B42" s="3" t="str">
        <x:v>Rate at / above threshold</x:v>
      </x:c>
      <x:c r="C42" s="44" t="n">
        <x:v>0.0375</x:v>
      </x:c>
      <x:c r="D42" s="12"/>
      <x:c r="E42" s="12"/>
      <x:c r="F42" s="14"/>
      <x:c r="G42" s="12"/>
      <x:c r="H42" s="7"/>
      <x:c r="I42" s="3" t="str">
        <x:v>DOC-03</x:v>
      </x:c>
    </x:row>
    <x:row r="43" ht="21" customHeight="1">
      <x:c r="A43" s="3"/>
      <x:c r="B43" s="3"/>
      <x:c r="C43" s="12"/>
      <x:c r="D43" s="12"/>
      <x:c r="E43" s="12"/>
      <x:c r="F43" s="14"/>
      <x:c r="G43" s="12"/>
      <x:c r="H43" s="7"/>
      <x:c r="I43" s="3"/>
    </x:row>
    <x:row r="44" ht="21" customHeight="1">
      <x:c r="A44" s="3"/>
      <x:c r="B44" s="3" t="str">
        <x:v>Nov 30 annual forecast ($000)</x:v>
      </x:c>
      <x:c r="C44" s="14" t="n">
        <x:v>12300</x:v>
      </x:c>
      <x:c r="D44" s="12"/>
      <x:c r="E44" s="12"/>
      <x:c r="F44" s="14"/>
      <x:c r="G44" s="12"/>
      <x:c r="H44" s="7"/>
      <x:c r="I44" s="3" t="str">
        <x:v>DOC-05 / CIS account</x:v>
      </x:c>
    </x:row>
    <x:row r="45" ht="21" customHeight="1">
      <x:c r="A45" s="3"/>
      <x:c r="B45" s="3" t="str">
        <x:v>Rebate cash received</x:v>
      </x:c>
      <x:c r="C45" s="14" t="n">
        <x:v>0</x:v>
      </x:c>
      <x:c r="D45" s="12"/>
      <x:c r="E45" s="12"/>
      <x:c r="F45" s="14"/>
      <x:c r="G45" s="12"/>
      <x:c r="H45" s="7"/>
      <x:c r="I45" s="3" t="str">
        <x:v>DOC-03 / DOC-06</x:v>
      </x:c>
    </x:row>
    <x:row r="46" ht="21" customHeight="1">
      <x:c r="A46" s="3"/>
      <x:c r="B46" s="3" t="str">
        <x:v>Rebate credit netted in AP</x:v>
      </x:c>
      <x:c r="C46" s="14" t="n">
        <x:v>0</x:v>
      </x:c>
      <x:c r="D46" s="12"/>
      <x:c r="E46" s="12"/>
      <x:c r="F46" s="14"/>
      <x:c r="G46" s="12"/>
      <x:c r="H46" s="7"/>
      <x:c r="I46" s="3" t="str">
        <x:v>DOC-03 / DOC-06</x:v>
      </x:c>
    </x:row>
    <x:row r="47" ht="21" customHeight="1">
      <x:c r="A47" s="3"/>
      <x:c r="B47" s="3"/>
      <x:c r="C47" s="12"/>
      <x:c r="D47" s="12"/>
      <x:c r="E47" s="12"/>
      <x:c r="F47" s="14"/>
      <x:c r="G47" s="12"/>
      <x:c r="H47" s="7"/>
      <x:c r="I47" s="3"/>
    </x:row>
    <x:row r="48" ht="25" customHeight="1">
      <x:c r="A48" s="3"/>
      <x:c r="B48" s="19" t="str">
        <x:v>Your volume reconciliation ($000)</x:v>
      </x:c>
      <x:c r="C48" s="41"/>
      <x:c r="D48" s="41"/>
      <x:c r="E48" s="41"/>
      <x:c r="F48" s="41"/>
      <x:c r="G48" s="41"/>
      <x:c r="H48" s="7"/>
      <x:c r="I48" s="3"/>
    </x:row>
    <x:row r="49" ht="21" customHeight="1">
      <x:c r="A49" s="3"/>
      <x:c r="B49" s="3"/>
      <x:c r="C49" s="12"/>
      <x:c r="D49" s="12"/>
      <x:c r="E49" s="12"/>
      <x:c r="F49" s="14"/>
      <x:c r="G49" s="12"/>
      <x:c r="H49" s="7"/>
      <x:c r="I49" s="3"/>
    </x:row>
    <x:row r="50" ht="21" customHeight="1">
      <x:c r="A50" s="3"/>
      <x:c r="B50" s="3" t="str">
        <x:v>AP purchase history</x:v>
      </x:c>
      <x:c r="C50" s="12" t="n">
        <x:f>C20</x:f>
        <x:v>12240</x:v>
      </x:c>
      <x:c r="D50" s="12"/>
      <x:c r="E50" s="12"/>
      <x:c r="F50" s="14"/>
      <x:c r="G50" s="12"/>
      <x:c r="H50" s="7"/>
      <x:c r="I50" s="3"/>
    </x:row>
    <x:row r="51" ht="21" customHeight="1">
      <x:c r="A51" s="3"/>
      <x:c r="B51" s="3" t="str">
        <x:v>Outside-program affiliate account</x:v>
      </x:c>
      <x:c r="C51" s="12" t="n">
        <x:f>-D18</x:f>
        <x:v>-2000</x:v>
      </x:c>
      <x:c r="D51" s="12"/>
      <x:c r="E51" s="12"/>
      <x:c r="F51" s="14"/>
      <x:c r="G51" s="12"/>
      <x:c r="H51" s="7"/>
      <x:c r="I51" s="3"/>
    </x:row>
    <x:row r="52" ht="21" customHeight="1">
      <x:c r="A52" s="3"/>
      <x:c r="B52" s="3" t="str">
        <x:v>Freight</x:v>
      </x:c>
      <x:c r="C52" s="12" t="n">
        <x:f>-F18</x:f>
        <x:v>-180</x:v>
      </x:c>
      <x:c r="D52" s="12"/>
      <x:c r="E52" s="12"/>
      <x:c r="F52" s="14"/>
      <x:c r="G52" s="12"/>
      <x:c r="H52" s="7"/>
      <x:c r="I52" s="3"/>
    </x:row>
    <x:row r="53" ht="21" customHeight="1">
      <x:c r="A53" s="3"/>
      <x:c r="B53" s="3" t="str">
        <x:v>Return memo after year-end</x:v>
      </x:c>
      <x:c r="C53" s="12" t="n">
        <x:f>-C29</x:f>
        <x:v>-60</x:v>
      </x:c>
      <x:c r="D53" s="12"/>
      <x:c r="E53" s="12"/>
      <x:c r="F53" s="14"/>
      <x:c r="G53" s="12"/>
      <x:c r="H53" s="7"/>
      <x:c r="I53" s="3"/>
    </x:row>
    <x:row r="54" ht="21" customHeight="1">
      <x:c r="A54" s="3"/>
      <x:c r="B54" s="3" t="str">
        <x:v>Other supported item</x:v>
      </x:c>
      <x:c r="C54" s="12"/>
      <x:c r="D54" s="12"/>
      <x:c r="E54" s="12"/>
      <x:c r="F54" s="14"/>
      <x:c r="G54" s="12"/>
      <x:c r="H54" s="7"/>
      <x:c r="I54" s="3"/>
    </x:row>
    <x:row r="55" ht="21" customHeight="1">
      <x:c r="A55" s="3"/>
      <x:c r="B55" s="3" t="str">
        <x:v>Other supported item</x:v>
      </x:c>
      <x:c r="C55" s="12"/>
      <x:c r="D55" s="12"/>
      <x:c r="E55" s="12"/>
      <x:c r="F55" s="14"/>
      <x:c r="G55" s="12"/>
      <x:c r="H55" s="7"/>
      <x:c r="I55" s="3"/>
    </x:row>
    <x:row r="56" ht="21" customHeight="1">
      <x:c r="A56" s="3"/>
      <x:c r="B56" s="28" t="str">
        <x:v>Eligible annual merchandise</x:v>
      </x:c>
      <x:c r="C56" s="30" t="n">
        <x:f>SUM(C50:C55)</x:f>
        <x:v>10000</x:v>
      </x:c>
      <x:c r="D56" s="12"/>
      <x:c r="E56" s="12"/>
      <x:c r="F56" s="14"/>
      <x:c r="G56" s="12"/>
      <x:c r="H56" s="7"/>
      <x:c r="I56" s="3"/>
    </x:row>
    <x:row r="57" ht="21" customHeight="1">
      <x:c r="A57" s="3"/>
      <x:c r="B57" s="3"/>
      <x:c r="C57" s="5"/>
      <x:c r="D57" s="3"/>
      <x:c r="E57" s="3"/>
      <x:c r="F57" s="6"/>
      <x:c r="G57" s="3"/>
      <x:c r="H57" s="7"/>
      <x:c r="I57" s="3"/>
    </x:row>
    <x:row r="58" ht="21" customHeight="1">
      <x:c r="A58" s="3"/>
      <x:c r="B58" s="7" t="str">
        <x:v>Read the dated source records and apply the written program. Document the treatment of each difference.</x:v>
      </x:c>
      <x:c r="C58" s="38"/>
      <x:c r="D58" s="7"/>
      <x:c r="E58" s="7"/>
      <x:c r="F58" s="38"/>
      <x:c r="G58" s="7"/>
      <x:c r="H58" s="7"/>
      <x:c r="I58" s="3"/>
    </x:row>
    <x:row r="59" ht="21" customHeight="1">
      <x:c r="A59" s="3"/>
      <x:c r="B59" s="3"/>
      <x:c r="C59" s="5"/>
      <x:c r="D59" s="3"/>
      <x:c r="E59" s="3"/>
      <x:c r="F59" s="6"/>
      <x:c r="G59" s="3"/>
      <x:c r="H59" s="7"/>
      <x:c r="I59" s="3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57534A"/>
  </x:sheetPr>
  <x:sheetViews>
    <x:sheetView showGridLines="0" workbookViewId="0"/>
  </x:sheetViews>
  <x:sheetFormatPr defaultRowHeight="15"/>
  <x:cols>
    <x:col min="1" max="1" width="3" hidden="0" customWidth="1"/>
    <x:col min="2" max="2" width="42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3" hidden="0" customWidth="1"/>
    <x:col min="9" max="9" width="3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28" customHeight="1">
      <x:c r="A2" s="3"/>
      <x:c r="B2" s="8" t="str">
        <x:v>Calder: illustrative quarterly allocation</x:v>
      </x:c>
      <x:c r="C2" s="8"/>
      <x:c r="D2" s="8"/>
      <x:c r="E2" s="8"/>
      <x:c r="F2" s="8"/>
      <x:c r="G2" s="8"/>
      <x:c r="H2" s="8"/>
      <x:c r="I2" s="3"/>
    </x:row>
    <x:row r="3" ht="21" customHeight="1">
      <x:c r="A3" s="3"/>
      <x:c r="B3" s="11" t="str">
        <x:v>Purchase-based rebate allocation. Quarterly inventory/COGS matching unverified. USD thousands.</x:v>
      </x:c>
      <x:c r="C3" s="11"/>
      <x:c r="D3" s="11"/>
      <x:c r="E3" s="11"/>
      <x:c r="F3" s="11"/>
      <x:c r="G3" s="11"/>
      <x:c r="H3" s="11"/>
      <x:c r="I3" s="3"/>
    </x:row>
    <x:row r="4" ht="21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25" customHeight="1">
      <x:c r="A5" s="3"/>
      <x:c r="B5" s="21" t="str">
        <x:v>USD thousands</x:v>
      </x:c>
      <x:c r="C5" s="21" t="str">
        <x:v>Q1 2025</x:v>
      </x:c>
      <x:c r="D5" s="21" t="str">
        <x:v>Q2 2025</x:v>
      </x:c>
      <x:c r="E5" s="21" t="str">
        <x:v>Q3 2025</x:v>
      </x:c>
      <x:c r="F5" s="21" t="str">
        <x:v>Q4 2025</x:v>
      </x:c>
      <x:c r="G5" s="21" t="str">
        <x:v>FY2025A</x:v>
      </x:c>
      <x:c r="H5" s="3"/>
      <x:c r="I5" s="3"/>
    </x:row>
    <x:row r="6" ht="21" customHeight="1">
      <x:c r="A6" s="3"/>
      <x:c r="B6" s="3" t="str">
        <x:v>Revenue</x:v>
      </x:c>
      <x:c r="C6" s="87" t="n">
        <x:f>'Source financials'!F7</x:f>
        <x:v>7650</x:v>
      </x:c>
      <x:c r="D6" s="87" t="n">
        <x:f>'Source financials'!G7</x:f>
        <x:v>8200</x:v>
      </x:c>
      <x:c r="E6" s="87" t="n">
        <x:f>'Source financials'!H7</x:f>
        <x:v>8650</x:v>
      </x:c>
      <x:c r="F6" s="87" t="n">
        <x:f>'Source financials'!I7</x:f>
        <x:v>9500</x:v>
      </x:c>
      <x:c r="G6" s="83" t="n">
        <x:f>SUM(C6:F6)</x:f>
        <x:v>34000</x:v>
      </x:c>
      <x:c r="H6" s="7"/>
      <x:c r="I6" s="3"/>
    </x:row>
    <x:row r="7" ht="21" customHeight="1">
      <x:c r="A7" s="3"/>
      <x:c r="B7" s="3" t="str">
        <x:v>As-booked reported EBITDA</x:v>
      </x:c>
      <x:c r="C7" s="87" t="n">
        <x:f>'Source financials'!F12</x:f>
        <x:v>620</x:v>
      </x:c>
      <x:c r="D7" s="87" t="n">
        <x:f>'Source financials'!G12</x:f>
        <x:v>730</x:v>
      </x:c>
      <x:c r="E7" s="87" t="n">
        <x:f>'Source financials'!H12</x:f>
        <x:v>790</x:v>
      </x:c>
      <x:c r="F7" s="87" t="n">
        <x:f>'Source financials'!I12</x:f>
        <x:v>1460</x:v>
      </x:c>
      <x:c r="G7" s="83" t="n">
        <x:f>SUM(C7:F7)</x:f>
        <x:v>3600</x:v>
      </x:c>
      <x:c r="H7" s="7"/>
      <x:c r="I7" s="3"/>
    </x:row>
    <x:row r="8" ht="21" customHeight="1">
      <x:c r="A8" s="3"/>
      <x:c r="B8" s="3" t="str">
        <x:v>As-booked annual rebate credit</x:v>
      </x:c>
      <x:c r="C8" s="87" t="n">
        <x:f>'Source financials'!F9</x:f>
        <x:v>0</x:v>
      </x:c>
      <x:c r="D8" s="87" t="n">
        <x:f>'Source financials'!G9</x:f>
        <x:v>0</x:v>
      </x:c>
      <x:c r="E8" s="87" t="n">
        <x:f>'Source financials'!H9</x:f>
        <x:v>0</x:v>
      </x:c>
      <x:c r="F8" s="87" t="n">
        <x:f>'Source financials'!I9</x:f>
        <x:v>450</x:v>
      </x:c>
      <x:c r="G8" s="83" t="n">
        <x:f>SUM(C8:F8)</x:f>
        <x:v>450</x:v>
      </x:c>
      <x:c r="H8" s="7"/>
      <x:c r="I8" s="3"/>
    </x:row>
    <x:row r="9" ht="21" customHeight="1">
      <x:c r="A9" s="3"/>
      <x:c r="B9" s="3" t="str">
        <x:v>Accounting correction to Q4 accrual</x:v>
      </x:c>
      <x:c r="C9" s="83" t="n">
        <x:f>0</x:f>
        <x:v>0</x:v>
      </x:c>
      <x:c r="D9" s="83" t="n">
        <x:f>0</x:f>
        <x:v>0</x:v>
      </x:c>
      <x:c r="E9" s="83" t="n">
        <x:f>0</x:f>
        <x:v>0</x:v>
      </x:c>
      <x:c r="F9" s="83" t="n">
        <x:f>'Diligence update'!C9*'Initial view'!F20</x:f>
        <x:v>-300.00000000000006</x:v>
      </x:c>
      <x:c r="G9" s="83" t="n">
        <x:f>SUM(C9:F9)</x:f>
        <x:v>-300.00000000000006</x:v>
      </x:c>
      <x:c r="H9" s="7"/>
      <x:c r="I9" s="3"/>
    </x:row>
    <x:row r="10" ht="21" customHeight="1">
      <x:c r="A10" s="3"/>
      <x:c r="B10" s="28" t="str">
        <x:v>Reported EBITDA after booked correction</x:v>
      </x:c>
      <x:c r="C10" s="91" t="n">
        <x:f>SUM(C7,C9)</x:f>
        <x:v>620</x:v>
      </x:c>
      <x:c r="D10" s="91" t="n">
        <x:f>SUM(D7,D9)</x:f>
        <x:v>730</x:v>
      </x:c>
      <x:c r="E10" s="91" t="n">
        <x:f>SUM(E7,E9)</x:f>
        <x:v>790</x:v>
      </x:c>
      <x:c r="F10" s="91" t="n">
        <x:f>SUM(F7,F9)</x:f>
        <x:v>1160</x:v>
      </x:c>
      <x:c r="G10" s="91" t="n">
        <x:f>SUM(C10:F10)</x:f>
        <x:v>3300</x:v>
      </x:c>
      <x:c r="H10" s="7"/>
      <x:c r="I10" s="3"/>
    </x:row>
    <x:row r="11" ht="21" customHeight="1">
      <x:c r="A11" s="3"/>
      <x:c r="B11" s="55" t="str">
        <x:v>Margin after booked correction</x:v>
      </x:c>
      <x:c r="C11" s="89" t="n">
        <x:f>C10/C6</x:f>
        <x:v>0.08104575163398693</x:v>
      </x:c>
      <x:c r="D11" s="89" t="n">
        <x:f>D10/D6</x:f>
        <x:v>0.08902439024390243</x:v>
      </x:c>
      <x:c r="E11" s="89" t="n">
        <x:f>E10/E6</x:f>
        <x:v>0.09132947976878612</x:v>
      </x:c>
      <x:c r="F11" s="89" t="n">
        <x:f>F10/F6</x:f>
        <x:v>0.12210526315789473</x:v>
      </x:c>
      <x:c r="G11" s="89" t="n">
        <x:f>G10/G6</x:f>
        <x:v>0.09705882352941177</x:v>
      </x:c>
      <x:c r="H11" s="7"/>
      <x:c r="I11" s="3"/>
    </x:row>
    <x:row r="12" ht="21" customHeight="1">
      <x:c r="A12" s="3"/>
      <x:c r="B12" s="3"/>
      <x:c r="C12" s="83"/>
      <x:c r="D12" s="83"/>
      <x:c r="E12" s="83"/>
      <x:c r="F12" s="83"/>
      <x:c r="G12" s="83"/>
      <x:c r="H12" s="7"/>
      <x:c r="I12" s="3"/>
    </x:row>
    <x:row r="13" ht="21" customHeight="1">
      <x:c r="A13" s="3"/>
      <x:c r="B13" s="3" t="str">
        <x:v>Eligible purchases by purchase quarter</x:v>
      </x:c>
      <x:c r="C13" s="83" t="n">
        <x:f>SUM('Rebate support'!E6:E8)-SUM('Rebate support'!G6:G8)</x:f>
        <x:v>2160</x:v>
      </x:c>
      <x:c r="D13" s="83" t="n">
        <x:f>SUM('Rebate support'!E9:E11)-SUM('Rebate support'!G9:G11)</x:f>
        <x:v>2460</x:v>
      </x:c>
      <x:c r="E13" s="83" t="n">
        <x:f>SUM('Rebate support'!E12:E14)-SUM('Rebate support'!G12:G14)</x:f>
        <x:v>2640</x:v>
      </x:c>
      <x:c r="F13" s="83" t="n">
        <x:f>SUM('Rebate support'!E15:E17)-SUM('Rebate support'!G15:G17)-SUM('Rebate support'!C27:C28)</x:f>
        <x:v>2740</x:v>
      </x:c>
      <x:c r="G13" s="83" t="n">
        <x:f>SUM(C13:F13)</x:f>
        <x:v>10000</x:v>
      </x:c>
      <x:c r="H13" s="7"/>
      <x:c r="I13" s="3"/>
    </x:row>
    <x:row r="14" ht="21" customHeight="1">
      <x:c r="A14" s="3"/>
      <x:c r="B14" s="3" t="str">
        <x:v>Earned annual rebate allocated by purchases</x:v>
      </x:c>
      <x:c r="C14" s="83" t="n">
        <x:f>C13/SUM($C$13:$F$13)*'Diligence update'!C8*'Initial view'!F20</x:f>
        <x:v>32.4</x:v>
      </x:c>
      <x:c r="D14" s="83" t="n">
        <x:f>D13/SUM($C$13:$F$13)*'Diligence update'!C8*'Initial view'!F20</x:f>
        <x:v>36.9</x:v>
      </x:c>
      <x:c r="E14" s="83" t="n">
        <x:f>E13/SUM($C$13:$F$13)*'Diligence update'!C8*'Initial view'!F20</x:f>
        <x:v>39.6</x:v>
      </x:c>
      <x:c r="F14" s="83" t="n">
        <x:f>F13/SUM($C$13:$F$13)*'Diligence update'!C8*'Initial view'!F20</x:f>
        <x:v>41.1</x:v>
      </x:c>
      <x:c r="G14" s="83" t="n">
        <x:f>SUM(C14:F14)</x:f>
        <x:v>150</x:v>
      </x:c>
      <x:c r="H14" s="7"/>
      <x:c r="I14" s="3"/>
    </x:row>
    <x:row r="15" ht="21" customHeight="1">
      <x:c r="A15" s="3"/>
      <x:c r="B15" s="28" t="str">
        <x:v>Illustrative reported EBITDA</x:v>
      </x:c>
      <x:c r="C15" s="91" t="n">
        <x:f>C7-C8+C14</x:f>
        <x:v>652.4</x:v>
      </x:c>
      <x:c r="D15" s="91" t="n">
        <x:f>D7-D8+D14</x:f>
        <x:v>766.9</x:v>
      </x:c>
      <x:c r="E15" s="91" t="n">
        <x:f>E7-E8+E14</x:f>
        <x:v>829.6</x:v>
      </x:c>
      <x:c r="F15" s="91" t="n">
        <x:f>F7-F8+F14</x:f>
        <x:v>1051.1</x:v>
      </x:c>
      <x:c r="G15" s="91" t="n">
        <x:f>SUM(C15:F15)</x:f>
        <x:v>3300</x:v>
      </x:c>
      <x:c r="H15" s="7"/>
      <x:c r="I15" s="3"/>
    </x:row>
    <x:row r="16" ht="21" customHeight="1">
      <x:c r="A16" s="3"/>
      <x:c r="B16" s="55" t="str">
        <x:v>Illustrative reported EBITDA margin</x:v>
      </x:c>
      <x:c r="C16" s="89" t="n">
        <x:f>C15/C6</x:f>
        <x:v>0.08528104575163398</x:v>
      </x:c>
      <x:c r="D16" s="89" t="n">
        <x:f>D15/D6</x:f>
        <x:v>0.09352439024390244</x:v>
      </x:c>
      <x:c r="E16" s="89" t="n">
        <x:f>E15/E6</x:f>
        <x:v>0.09590751445086705</x:v>
      </x:c>
      <x:c r="F16" s="89" t="n">
        <x:f>F15/F6</x:f>
        <x:v>0.11064210526315789</x:v>
      </x:c>
      <x:c r="G16" s="89" t="n">
        <x:f>G15/G6</x:f>
        <x:v>0.09705882352941177</x:v>
      </x:c>
      <x:c r="H16" s="7"/>
      <x:c r="I16" s="3"/>
    </x:row>
    <x:row r="17" ht="21" customHeight="1">
      <x:c r="A17" s="3"/>
      <x:c r="B17" s="3" t="str">
        <x:v>Accepted ERP and owner adjustments</x:v>
      </x:c>
      <x:c r="C17" s="83" t="n">
        <x:f>SUM('Source financials'!F14:F15)</x:f>
        <x:v>30</x:v>
      </x:c>
      <x:c r="D17" s="83" t="n">
        <x:f>SUM('Source financials'!G14:G15)</x:f>
        <x:v>90</x:v>
      </x:c>
      <x:c r="E17" s="83" t="n">
        <x:f>SUM('Source financials'!H14:H15)</x:f>
        <x:v>150</x:v>
      </x:c>
      <x:c r="F17" s="83" t="n">
        <x:f>SUM('Source financials'!I14:I15)</x:f>
        <x:v>30</x:v>
      </x:c>
      <x:c r="G17" s="83" t="n">
        <x:f>SUM(C17:F17)</x:f>
        <x:v>300</x:v>
      </x:c>
      <x:c r="H17" s="7"/>
      <x:c r="I17" s="3"/>
    </x:row>
    <x:row r="18" ht="21" customHeight="1">
      <x:c r="A18" s="3"/>
      <x:c r="B18" s="28" t="str">
        <x:v>Illustrative adjusted EBITDA</x:v>
      </x:c>
      <x:c r="C18" s="91" t="n">
        <x:f>SUM(C15,C17)</x:f>
        <x:v>682.4</x:v>
      </x:c>
      <x:c r="D18" s="91" t="n">
        <x:f>SUM(D15,D17)</x:f>
        <x:v>856.9</x:v>
      </x:c>
      <x:c r="E18" s="91" t="n">
        <x:f>SUM(E15,E17)</x:f>
        <x:v>979.6</x:v>
      </x:c>
      <x:c r="F18" s="91" t="n">
        <x:f>SUM(F15,F17)</x:f>
        <x:v>1081.1</x:v>
      </x:c>
      <x:c r="G18" s="91" t="n">
        <x:f>SUM(C18:F18)</x:f>
        <x:v>3600</x:v>
      </x:c>
      <x:c r="H18" s="7"/>
      <x:c r="I18" s="3"/>
    </x:row>
    <x:row r="19" ht="21" customHeight="1">
      <x:c r="A19" s="3"/>
      <x:c r="B19" s="55" t="str">
        <x:v>Illustrative adjusted EBITDA margin</x:v>
      </x:c>
      <x:c r="C19" s="89" t="n">
        <x:f>C18/C6</x:f>
        <x:v>0.08920261437908497</x:v>
      </x:c>
      <x:c r="D19" s="89" t="n">
        <x:f>D18/D6</x:f>
        <x:v>0.1045</x:v>
      </x:c>
      <x:c r="E19" s="89" t="n">
        <x:f>E18/E6</x:f>
        <x:v>0.1132485549132948</x:v>
      </x:c>
      <x:c r="F19" s="89" t="n">
        <x:f>F18/F6</x:f>
        <x:v>0.11379999999999998</x:v>
      </x:c>
      <x:c r="G19" s="89" t="n">
        <x:f>G18/G6</x:f>
        <x:v>0.10588235294117647</x:v>
      </x:c>
      <x:c r="H19" s="7"/>
      <x:c r="I19" s="3"/>
    </x:row>
    <x:row r="20" ht="25" customHeight="1">
      <x:c r="A20" s="3"/>
      <x:c r="B20" s="19" t="str">
        <x:v>Annual growth and forecast review</x:v>
      </x:c>
      <x:c r="C20" s="93"/>
      <x:c r="D20" s="93"/>
      <x:c r="E20" s="93"/>
      <x:c r="F20" s="93"/>
      <x:c r="G20" s="93"/>
      <x:c r="H20" s="7"/>
      <x:c r="I20" s="3"/>
    </x:row>
    <x:row r="21" ht="21" customHeight="1">
      <x:c r="A21" s="3"/>
      <x:c r="B21" s="3" t="str">
        <x:v>FY2025 revenue growth</x:v>
      </x:c>
      <x:c r="C21" s="88" t="n">
        <x:f>'Source financials'!D7/'Source financials'!C7-1</x:f>
        <x:v>0.07594936708860756</x:v>
      </x:c>
      <x:c r="D21" s="83"/>
      <x:c r="E21" s="83"/>
      <x:c r="F21" s="83"/>
      <x:c r="G21" s="83"/>
      <x:c r="H21" s="7"/>
      <x:c r="I21" s="3"/>
    </x:row>
    <x:row r="22" ht="21" customHeight="1">
      <x:c r="A22" s="3"/>
      <x:c r="B22" s="3" t="str">
        <x:v>Corrected adjusted EBITDA growth</x:v>
      </x:c>
      <x:c r="C22" s="88" t="n">
        <x:f>G18/'Source financials'!C16-1</x:f>
        <x:v>0.27659574468085113</x:v>
      </x:c>
      <x:c r="D22" s="83"/>
      <x:c r="E22" s="83"/>
      <x:c r="F22" s="83"/>
      <x:c r="G22" s="83"/>
      <x:c r="H22" s="7"/>
      <x:c r="I22" s="3"/>
    </x:row>
    <x:row r="23" ht="21" customHeight="1">
      <x:c r="A23" s="3"/>
      <x:c r="B23" s="3"/>
      <x:c r="C23" s="83"/>
      <x:c r="D23" s="83"/>
      <x:c r="E23" s="83"/>
      <x:c r="F23" s="83"/>
      <x:c r="G23" s="83"/>
      <x:c r="H23" s="7"/>
      <x:c r="I23" s="3"/>
    </x:row>
    <x:row r="24" ht="21" customHeight="1">
      <x:c r="A24" s="3"/>
      <x:c r="B24" s="3" t="str">
        <x:v>Final eligible volume: Jan-Nov</x:v>
      </x:c>
      <x:c r="C24" s="12" t="n">
        <x:f>SUM('Rebate support'!E6:E16)-SUM('Rebate support'!G6:G16)-'Rebate support'!C27</x:f>
        <x:v>9080</x:v>
      </x:c>
      <x:c r="D24" s="83"/>
      <x:c r="E24" s="83"/>
      <x:c r="F24" s="83"/>
      <x:c r="G24" s="83"/>
      <x:c r="H24" s="7"/>
      <x:c r="I24" s="3"/>
    </x:row>
    <x:row r="25" ht="21" customHeight="1">
      <x:c r="A25" s="3"/>
      <x:c r="B25" s="3" t="str">
        <x:v>December gap: final-volume comparison</x:v>
      </x:c>
      <x:c r="C25" s="12" t="n">
        <x:f>'Rebate support'!C44-C24</x:f>
        <x:v>3220</x:v>
      </x:c>
      <x:c r="D25" s="83"/>
      <x:c r="E25" s="83"/>
      <x:c r="F25" s="83"/>
      <x:c r="G25" s="83"/>
      <x:c r="H25" s="7"/>
      <x:c r="I25" s="3"/>
    </x:row>
    <x:row r="26" ht="21" customHeight="1">
      <x:c r="A26" s="3"/>
      <x:c r="B26" s="3" t="str">
        <x:v>Q4 eligible purchases annualized</x:v>
      </x:c>
      <x:c r="C26" s="12" t="n">
        <x:f>F13*4</x:f>
        <x:v>10960</x:v>
      </x:c>
      <x:c r="D26" s="83"/>
      <x:c r="E26" s="83"/>
      <x:c r="F26" s="83"/>
      <x:c r="G26" s="83"/>
      <x:c r="H26" s="7"/>
      <x:c r="I26" s="3"/>
    </x:row>
    <x:row r="27" ht="21" customHeight="1">
      <x:c r="A27" s="3"/>
      <x:c r="B27" s="3" t="str">
        <x:v>Annualized volume below threshold</x:v>
      </x:c>
      <x:c r="C27" s="12" t="n">
        <x:f>'Rebate support'!C40-C26</x:f>
        <x:v>1040</x:v>
      </x:c>
      <x:c r="D27" s="83"/>
      <x:c r="E27" s="83"/>
      <x:c r="F27" s="83"/>
      <x:c r="G27" s="83"/>
      <x:c r="H27" s="7"/>
      <x:c r="I27" s="3"/>
    </x:row>
    <x:row r="28" ht="21" customHeight="1">
      <x:c r="A28" s="3"/>
      <x:c r="B28" s="3"/>
      <x:c r="C28" s="5"/>
      <x:c r="D28" s="3"/>
      <x:c r="E28" s="3"/>
      <x:c r="F28" s="6"/>
      <x:c r="G28" s="3"/>
      <x:c r="H28" s="7"/>
      <x:c r="I28" s="3"/>
    </x:row>
    <x:row r="29" ht="21" customHeight="1">
      <x:c r="A29" s="3"/>
      <x:c r="B29" s="7" t="str">
        <x:v>Illustrative purchase-based rebate allocation. Quarterly inventory/COGS matching remains unverified.</x:v>
      </x:c>
      <x:c r="C29" s="38"/>
      <x:c r="D29" s="7"/>
      <x:c r="E29" s="7"/>
      <x:c r="F29" s="38"/>
      <x:c r="G29" s="7"/>
      <x:c r="H29" s="7"/>
      <x:c r="I29" s="3"/>
    </x:row>
    <x:row r="30" ht="21" customHeight="1">
      <x:c r="A30" s="3"/>
      <x:c r="B30" s="7" t="str">
        <x:v>Q3/Q4 adjusted margins are nearly level under this convention. Annual earnings are unchanged.</x:v>
      </x:c>
      <x:c r="C30" s="38"/>
      <x:c r="D30" s="7"/>
      <x:c r="E30" s="7"/>
      <x:c r="F30" s="38"/>
      <x:c r="G30" s="7"/>
      <x:c r="H30" s="7"/>
      <x:c r="I30" s="3"/>
    </x:row>
    <x:row r="31" ht="21" customHeight="1">
      <x:c r="A31" s="3"/>
      <x:c r="B31" s="7" t="str">
        <x:v>Forecast gap uses final reconciled Jan-Nov volume; it is retrospective. Quarterly annualization is not a forecast.</x:v>
      </x:c>
      <x:c r="C31" s="38"/>
      <x:c r="D31" s="7"/>
      <x:c r="E31" s="7"/>
      <x:c r="F31" s="38"/>
      <x:c r="G31" s="7"/>
      <x:c r="H31" s="7"/>
      <x:c r="I31" s="3"/>
    </x:row>
    <x:row r="32" ht="21" customHeight="1">
      <x:c r="A32" s="3"/>
      <x:c r="B32" s="7" t="str">
        <x:v>Sources: DOC-04 accounts; DOC-05 purchase records, return support and forecast; DOC-03 program.</x:v>
      </x:c>
      <x:c r="C32" s="38"/>
      <x:c r="D32" s="7"/>
      <x:c r="E32" s="7"/>
      <x:c r="F32" s="38"/>
      <x:c r="G32" s="7"/>
      <x:c r="H32" s="7"/>
      <x:c r="I32" s="3"/>
    </x:row>
    <x:row r="33" ht="21" customHeight="1">
      <x:c r="A33" s="3"/>
      <x:c r="B33" s="3"/>
      <x:c r="C33" s="5"/>
      <x:c r="D33" s="3"/>
      <x:c r="E33" s="3"/>
      <x:c r="F33" s="6"/>
      <x:c r="G33" s="3"/>
      <x:c r="H33" s="7"/>
      <x:c r="I33" s="3"/>
    </x:row>
  </x:sheetData>
  <x:pageMargins left="0.7" right="0.7" top="0.75" bottom="0.75" header="0.3" footer="0.3"/>
</x:worksheet>
</file>